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170" windowHeight="5520"/>
  </bookViews>
  <sheets>
    <sheet name="Consolidado Octubre 2015" sheetId="5" r:id="rId1"/>
  </sheets>
  <definedNames>
    <definedName name="_xlnm._FilterDatabase" localSheetId="0" hidden="1">'Consolidado Octubre 2015'!$A$8:$F$213</definedName>
    <definedName name="_xlnm.Print_Area" localSheetId="0">'Consolidado Octubre 2015'!$A$1:$F$213</definedName>
    <definedName name="_xlnm.Print_Titles" localSheetId="0">'Consolidado Octubre 2015'!$1:$8</definedName>
  </definedNames>
  <calcPr calcId="145621"/>
</workbook>
</file>

<file path=xl/calcChain.xml><?xml version="1.0" encoding="utf-8"?>
<calcChain xmlns="http://schemas.openxmlformats.org/spreadsheetml/2006/main">
  <c r="F15" i="5" l="1"/>
  <c r="F16" i="5"/>
  <c r="F17" i="5"/>
  <c r="F18" i="5"/>
  <c r="E210" i="5"/>
  <c r="F212" i="5"/>
  <c r="F209" i="5"/>
  <c r="F200" i="5"/>
  <c r="F201" i="5"/>
  <c r="F202" i="5"/>
  <c r="F194" i="5"/>
  <c r="F195" i="5"/>
  <c r="F193" i="5"/>
  <c r="F189" i="5"/>
  <c r="F190" i="5"/>
  <c r="F191" i="5"/>
  <c r="F182" i="5"/>
  <c r="F183" i="5"/>
  <c r="F184" i="5"/>
  <c r="F185" i="5"/>
  <c r="F186" i="5"/>
  <c r="G179" i="5"/>
  <c r="F211" i="5"/>
  <c r="C210" i="5"/>
  <c r="D210" i="5"/>
  <c r="E207" i="5"/>
  <c r="F208" i="5"/>
  <c r="C207" i="5"/>
  <c r="D207" i="5"/>
  <c r="C196" i="5"/>
  <c r="D196" i="5"/>
  <c r="C192" i="5"/>
  <c r="D192" i="5"/>
  <c r="E192" i="5"/>
  <c r="F192" i="5"/>
  <c r="C187" i="5"/>
  <c r="D187" i="5"/>
  <c r="C180" i="5"/>
  <c r="D180" i="5"/>
  <c r="C175" i="5"/>
  <c r="D175" i="5"/>
  <c r="C170" i="5"/>
  <c r="D170" i="5"/>
  <c r="E170" i="5"/>
  <c r="C149" i="5"/>
  <c r="F137" i="5"/>
  <c r="F138" i="5"/>
  <c r="F139" i="5"/>
  <c r="F140" i="5"/>
  <c r="F141" i="5"/>
  <c r="F142" i="5"/>
  <c r="F143" i="5"/>
  <c r="F145" i="5"/>
  <c r="F146" i="5"/>
  <c r="F147" i="5"/>
  <c r="F148" i="5"/>
  <c r="C135" i="5"/>
  <c r="F109" i="5"/>
  <c r="F110" i="5"/>
  <c r="F111" i="5"/>
  <c r="F112" i="5"/>
  <c r="F113" i="5"/>
  <c r="C107" i="5"/>
  <c r="F64" i="5"/>
  <c r="F65" i="5"/>
  <c r="F66" i="5"/>
  <c r="F68" i="5"/>
  <c r="C62" i="5"/>
  <c r="D69" i="5"/>
  <c r="E69" i="5"/>
  <c r="C69" i="5"/>
  <c r="C102" i="5"/>
  <c r="D102" i="5"/>
  <c r="E102" i="5"/>
  <c r="C89" i="5"/>
  <c r="E89" i="5"/>
  <c r="F91" i="5"/>
  <c r="F92" i="5"/>
  <c r="F93" i="5"/>
  <c r="F95" i="5"/>
  <c r="F96" i="5"/>
  <c r="F97" i="5"/>
  <c r="F98" i="5"/>
  <c r="F99" i="5"/>
  <c r="F100" i="5"/>
  <c r="F101" i="5"/>
  <c r="F90" i="5"/>
  <c r="F51" i="5"/>
  <c r="E26" i="5"/>
  <c r="F28" i="5"/>
  <c r="F29" i="5"/>
  <c r="F30" i="5"/>
  <c r="F31" i="5"/>
  <c r="F32" i="5"/>
  <c r="C26" i="5"/>
  <c r="D26" i="5"/>
  <c r="E36" i="5"/>
  <c r="C36" i="5"/>
  <c r="D36" i="5"/>
  <c r="D33" i="5"/>
  <c r="F37" i="5"/>
  <c r="F35" i="5"/>
  <c r="C22" i="5"/>
  <c r="E19" i="5"/>
  <c r="D19" i="5"/>
  <c r="C19" i="5"/>
  <c r="E13" i="5"/>
  <c r="C13" i="5"/>
  <c r="F12" i="5"/>
  <c r="D10" i="5"/>
  <c r="C10" i="5"/>
  <c r="F172" i="5"/>
  <c r="F173" i="5"/>
  <c r="F174" i="5"/>
  <c r="F171" i="5"/>
  <c r="C159" i="5"/>
  <c r="F152" i="5"/>
  <c r="F153" i="5"/>
  <c r="F154" i="5"/>
  <c r="F156" i="5"/>
  <c r="F157" i="5"/>
  <c r="F158" i="5"/>
  <c r="D122" i="5"/>
  <c r="D119" i="5"/>
  <c r="E114" i="5"/>
  <c r="F117" i="5"/>
  <c r="D115" i="5"/>
  <c r="E108" i="5"/>
  <c r="D108" i="5" s="1"/>
  <c r="D94" i="5"/>
  <c r="F87" i="5"/>
  <c r="D83" i="5"/>
  <c r="D79" i="5"/>
  <c r="F75" i="5"/>
  <c r="F76" i="5"/>
  <c r="F77" i="5"/>
  <c r="F81" i="5"/>
  <c r="F82" i="5"/>
  <c r="F84" i="5"/>
  <c r="F85" i="5"/>
  <c r="F86" i="5"/>
  <c r="F78" i="5"/>
  <c r="F80" i="5"/>
  <c r="F88" i="5"/>
  <c r="F74" i="5"/>
  <c r="C73" i="5"/>
  <c r="E73" i="5"/>
  <c r="D169" i="5" l="1"/>
  <c r="F79" i="5"/>
  <c r="D107" i="5"/>
  <c r="F83" i="5"/>
  <c r="D89" i="5"/>
  <c r="D114" i="5"/>
  <c r="F170" i="5"/>
  <c r="C169" i="5"/>
  <c r="C179" i="5"/>
  <c r="E107" i="5"/>
  <c r="F207" i="5"/>
  <c r="F94" i="5"/>
  <c r="F210" i="5"/>
  <c r="F89" i="5"/>
  <c r="F115" i="5"/>
  <c r="D73" i="5"/>
  <c r="F73" i="5" l="1"/>
  <c r="D59" i="5"/>
  <c r="F56" i="5"/>
  <c r="E33" i="5"/>
  <c r="C33" i="5"/>
  <c r="D14" i="5"/>
  <c r="C9" i="5" l="1"/>
  <c r="D13" i="5"/>
  <c r="F14" i="5"/>
  <c r="F13" i="5" s="1"/>
  <c r="E176" i="5" l="1"/>
  <c r="E11" i="5"/>
  <c r="E175" i="5" l="1"/>
  <c r="F11" i="5"/>
  <c r="E10" i="5"/>
  <c r="F10" i="5"/>
  <c r="E58" i="5"/>
  <c r="D58" i="5" s="1"/>
  <c r="E131" i="5"/>
  <c r="D131" i="5" s="1"/>
  <c r="E161" i="5"/>
  <c r="E60" i="5"/>
  <c r="D60" i="5" s="1"/>
  <c r="E55" i="5"/>
  <c r="E52" i="5"/>
  <c r="D52" i="5" s="1"/>
  <c r="E151" i="5"/>
  <c r="E133" i="5"/>
  <c r="D133" i="5" s="1"/>
  <c r="E120" i="5"/>
  <c r="E198" i="5"/>
  <c r="E121" i="5"/>
  <c r="D121" i="5" s="1"/>
  <c r="E188" i="5"/>
  <c r="E181" i="5"/>
  <c r="E45" i="5"/>
  <c r="D45" i="5" s="1"/>
  <c r="E155" i="5"/>
  <c r="E165" i="5"/>
  <c r="D165" i="5" s="1"/>
  <c r="E144" i="5"/>
  <c r="E67" i="5"/>
  <c r="E187" i="5" l="1"/>
  <c r="F52" i="5"/>
  <c r="E169" i="5"/>
  <c r="F155" i="5"/>
  <c r="D144" i="5"/>
  <c r="E135" i="5"/>
  <c r="E149" i="5"/>
  <c r="E159" i="5"/>
  <c r="D161" i="5"/>
  <c r="E180" i="5"/>
  <c r="F181" i="5"/>
  <c r="F180" i="5" s="1"/>
  <c r="D67" i="5"/>
  <c r="E62" i="5"/>
  <c r="F198" i="5"/>
  <c r="D151" i="5"/>
  <c r="E54" i="5"/>
  <c r="D55" i="5"/>
  <c r="E43" i="5"/>
  <c r="D43" i="5" s="1"/>
  <c r="E46" i="5"/>
  <c r="D46" i="5" s="1"/>
  <c r="E199" i="5"/>
  <c r="E118" i="5"/>
  <c r="E24" i="5"/>
  <c r="D24" i="5" s="1"/>
  <c r="E23" i="5"/>
  <c r="F199" i="5" l="1"/>
  <c r="F55" i="5"/>
  <c r="F54" i="5" s="1"/>
  <c r="D159" i="5"/>
  <c r="F151" i="5"/>
  <c r="D149" i="5"/>
  <c r="D22" i="5"/>
  <c r="D9" i="5" s="1"/>
  <c r="F24" i="5"/>
  <c r="E196" i="5"/>
  <c r="F23" i="5"/>
  <c r="F22" i="5" s="1"/>
  <c r="E22" i="5"/>
  <c r="E9" i="5" s="1"/>
  <c r="F67" i="5"/>
  <c r="D62" i="5"/>
  <c r="D135" i="5"/>
  <c r="F144" i="5"/>
  <c r="D54" i="5"/>
  <c r="F205" i="5"/>
  <c r="F204" i="5"/>
  <c r="E203" i="5"/>
  <c r="E179" i="5" s="1"/>
  <c r="D203" i="5"/>
  <c r="F197" i="5"/>
  <c r="F188" i="5"/>
  <c r="F178" i="5"/>
  <c r="F177" i="5"/>
  <c r="F176" i="5"/>
  <c r="F168" i="5"/>
  <c r="F167" i="5"/>
  <c r="F166" i="5"/>
  <c r="F165" i="5"/>
  <c r="F164" i="5"/>
  <c r="F163" i="5"/>
  <c r="F162" i="5"/>
  <c r="F161" i="5"/>
  <c r="F160" i="5"/>
  <c r="F150" i="5"/>
  <c r="F136" i="5"/>
  <c r="F134" i="5"/>
  <c r="F133" i="5"/>
  <c r="F132" i="5"/>
  <c r="F131" i="5"/>
  <c r="F130" i="5"/>
  <c r="F129" i="5"/>
  <c r="E128" i="5"/>
  <c r="D128" i="5"/>
  <c r="C128" i="5"/>
  <c r="F127" i="5"/>
  <c r="F126" i="5"/>
  <c r="E125" i="5"/>
  <c r="D125" i="5"/>
  <c r="C125" i="5"/>
  <c r="F124" i="5"/>
  <c r="F123" i="5"/>
  <c r="F122" i="5"/>
  <c r="F121" i="5"/>
  <c r="F120" i="5"/>
  <c r="F119" i="5"/>
  <c r="D118" i="5"/>
  <c r="C118" i="5"/>
  <c r="F116" i="5"/>
  <c r="C114" i="5"/>
  <c r="F108" i="5"/>
  <c r="F105" i="5"/>
  <c r="F104" i="5"/>
  <c r="F103" i="5"/>
  <c r="F72" i="5"/>
  <c r="F71" i="5"/>
  <c r="F70" i="5"/>
  <c r="F63" i="5"/>
  <c r="F61" i="5"/>
  <c r="F59" i="5"/>
  <c r="F58" i="5"/>
  <c r="D57" i="5"/>
  <c r="C57" i="5"/>
  <c r="C54" i="5"/>
  <c r="F53" i="5"/>
  <c r="E50" i="5"/>
  <c r="D50" i="5"/>
  <c r="C50" i="5"/>
  <c r="F49" i="5"/>
  <c r="F48" i="5"/>
  <c r="F47" i="5"/>
  <c r="F46" i="5"/>
  <c r="F45" i="5"/>
  <c r="F44" i="5"/>
  <c r="F43" i="5"/>
  <c r="E42" i="5"/>
  <c r="D42" i="5"/>
  <c r="C42" i="5"/>
  <c r="F40" i="5"/>
  <c r="F39" i="5"/>
  <c r="F38" i="5"/>
  <c r="F34" i="5"/>
  <c r="F27" i="5"/>
  <c r="F21" i="5"/>
  <c r="F20" i="5"/>
  <c r="D106" i="5" l="1"/>
  <c r="E106" i="5"/>
  <c r="F19" i="5"/>
  <c r="F36" i="5"/>
  <c r="F33" i="5"/>
  <c r="C41" i="5"/>
  <c r="F62" i="5"/>
  <c r="F102" i="5"/>
  <c r="F107" i="5"/>
  <c r="F114" i="5"/>
  <c r="F125" i="5"/>
  <c r="F149" i="5"/>
  <c r="F175" i="5"/>
  <c r="F196" i="5"/>
  <c r="F26" i="5"/>
  <c r="F50" i="5"/>
  <c r="F69" i="5"/>
  <c r="C106" i="5"/>
  <c r="F118" i="5"/>
  <c r="F128" i="5"/>
  <c r="F135" i="5"/>
  <c r="F159" i="5"/>
  <c r="F187" i="5"/>
  <c r="D179" i="5"/>
  <c r="D41" i="5"/>
  <c r="F42" i="5"/>
  <c r="F203" i="5"/>
  <c r="C222" i="5"/>
  <c r="F60" i="5"/>
  <c r="E57" i="5"/>
  <c r="E41" i="5" s="1"/>
  <c r="F179" i="5" l="1"/>
  <c r="F57" i="5"/>
  <c r="F106" i="5"/>
  <c r="F169" i="5"/>
  <c r="F9" i="5"/>
  <c r="D213" i="5"/>
  <c r="D226" i="5" s="1"/>
  <c r="D222" i="5"/>
  <c r="C213" i="5"/>
  <c r="C226" i="5" s="1"/>
  <c r="E222" i="5"/>
  <c r="E213" i="5"/>
  <c r="E226" i="5" s="1"/>
  <c r="F41" i="5" l="1"/>
  <c r="F213" i="5"/>
  <c r="F222" i="5"/>
  <c r="F226" i="5" l="1"/>
</calcChain>
</file>

<file path=xl/sharedStrings.xml><?xml version="1.0" encoding="utf-8"?>
<sst xmlns="http://schemas.openxmlformats.org/spreadsheetml/2006/main" count="375" uniqueCount="373">
  <si>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</si>
  <si>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</si>
  <si>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</si>
  <si>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</si>
  <si>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</si>
  <si>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</si>
  <si>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</si>
  <si>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</si>
  <si>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</si>
  <si>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</si>
  <si>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</si>
  <si>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</si>
  <si>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</si>
  <si>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</si>
  <si>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</si>
  <si>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</si>
  <si>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</si>
  <si>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</si>
  <si>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</si>
  <si>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</si>
  <si>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</si>
  <si>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</si>
  <si>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</si>
  <si>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</si>
  <si>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</si>
  <si>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</si>
  <si>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</si>
  <si>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</si>
  <si>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</si>
  <si>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</si>
  <si>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</si>
  <si>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</si>
  <si>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</si>
  <si>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</si>
  <si>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</si>
  <si>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</si>
  <si>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</si>
  <si>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</si>
  <si>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</si>
  <si>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</si>
  <si>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</si>
  <si>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</si>
  <si>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</si>
  <si>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</si>
  <si>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</si>
  <si>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</si>
  <si>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</si>
  <si>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</si>
  <si>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</si>
  <si>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</si>
  <si>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</si>
  <si>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</si>
  <si>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</si>
  <si>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</si>
  <si>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</si>
  <si>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</si>
  <si>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</si>
  <si>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</si>
  <si>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</si>
  <si>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</si>
  <si>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</si>
  <si>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</si>
  <si>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</si>
  <si>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</si>
  <si>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</si>
  <si>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</si>
  <si>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</si>
  <si>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</si>
  <si>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</si>
  <si>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</si>
  <si>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</si>
  <si>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</si>
  <si>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</si>
  <si>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</si>
  <si>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</si>
  <si>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</si>
  <si>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</si>
  <si>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</si>
  <si>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</si>
  <si>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</si>
  <si>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</si>
  <si>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</si>
  <si>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</si>
  <si>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</si>
  <si>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</si>
  <si>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</si>
  <si>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</si>
  <si>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</si>
  <si>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</si>
  <si>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</si>
  <si>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</si>
  <si>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</si>
  <si>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</si>
  <si>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</si>
  <si>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</si>
  <si>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</si>
  <si>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</si>
  <si>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</si>
  <si>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</si>
  <si>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</si>
  <si>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</si>
  <si>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</si>
  <si>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</si>
  <si>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</si>
  <si>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</si>
  <si>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</si>
  <si>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</si>
  <si>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</si>
  <si>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</si>
  <si>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</si>
  <si>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</si>
  <si>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</si>
  <si>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</si>
  <si>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</si>
  <si>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</si>
  <si>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</si>
  <si>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</si>
  <si>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</si>
  <si>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</si>
  <si>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</si>
  <si>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</si>
  <si>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</si>
  <si>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Obras Menores en Edificaciones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</si>
  <si>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</si>
  <si>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</si>
  <si>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</si>
  <si>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</si>
  <si>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</si>
  <si>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</si>
  <si>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</si>
  <si>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</si>
  <si>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</si>
  <si>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</si>
  <si>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</si>
  <si>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</si>
  <si>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</si>
  <si>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</si>
  <si>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</si>
  <si>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</si>
  <si>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</si>
  <si>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</si>
  <si>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</si>
  <si>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</si>
  <si>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</si>
  <si>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</si>
  <si>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</si>
  <si>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</si>
  <si>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</si>
  <si>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</si>
  <si>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</si>
  <si>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</si>
  <si>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</si>
  <si>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</si>
  <si>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</si>
  <si>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</si>
  <si>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</si>
  <si>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</si>
  <si>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 xml:space="preserve">Productos Farmaceuticos  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</si>
  <si>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</si>
  <si>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</si>
  <si>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</si>
  <si>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</si>
  <si>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</si>
  <si>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</si>
  <si>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</si>
  <si>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</si>
  <si>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</si>
  <si>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</si>
  <si>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2.3.6.1.02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</si>
  <si>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</si>
  <si>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</si>
  <si>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</si>
  <si>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</si>
  <si>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</si>
  <si>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</si>
  <si>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</si>
  <si>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</si>
  <si>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</si>
  <si>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</si>
  <si>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</si>
  <si>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</si>
  <si>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</si>
  <si>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</si>
  <si>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</si>
  <si>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</si>
  <si>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</si>
  <si>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</si>
  <si>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</si>
  <si>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</si>
  <si>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</si>
  <si>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</si>
  <si>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</si>
  <si>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</si>
  <si>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</si>
  <si>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</si>
  <si>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</si>
  <si>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</si>
  <si>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</si>
  <si>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</si>
  <si>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</si>
  <si>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</si>
  <si>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</si>
  <si>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</si>
  <si>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</si>
  <si>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</si>
  <si>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</si>
  <si>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</si>
  <si>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</si>
  <si>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</si>
  <si>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>Proudustos y Utiles variso  N. I . P.</t>
  </si>
  <si>
    <t xml:space="preserve">Bienes Muebles e Inmuebles e Intangibles </t>
  </si>
  <si>
    <t>2.6.1</t>
  </si>
  <si>
    <t>2.6.1.1</t>
  </si>
  <si>
    <t>2.6.1.3</t>
  </si>
  <si>
    <t xml:space="preserve">Muebles de Oficina y Estanteria </t>
  </si>
  <si>
    <t>2.6.4</t>
  </si>
  <si>
    <t xml:space="preserve">Vehiculos  y Equipo  de Transporte, Traccion y Elevacion </t>
  </si>
  <si>
    <t>2.6.4.1</t>
  </si>
  <si>
    <t>Automoviles y Camiones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</si>
  <si>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</si>
  <si>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</si>
  <si>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</si>
  <si>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</si>
  <si>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</si>
  <si>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</si>
  <si>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</si>
  <si>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 xml:space="preserve">Equipos de Computos </t>
  </si>
  <si>
    <t>2.1.2.2.06</t>
  </si>
  <si>
    <t xml:space="preserve">Compensación por Resultados 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</si>
  <si>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</si>
  <si>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</si>
  <si>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</si>
  <si>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</si>
  <si>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</si>
  <si>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</si>
  <si>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 de exactitud </t>
  </si>
  <si>
    <t>2.2.1.6.08</t>
  </si>
  <si>
    <t xml:space="preserve">Productos quimicos y Conexos </t>
  </si>
  <si>
    <t>Combustibles, Lubricantes</t>
  </si>
  <si>
    <t xml:space="preserve">Muebles de alojamiento, excepto de oficina y estanteria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</si>
  <si>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</si>
  <si>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</si>
  <si>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</si>
  <si>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</si>
  <si>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</si>
  <si>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</si>
  <si>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</si>
  <si>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</si>
  <si>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</si>
  <si>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</si>
  <si>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</si>
  <si>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</si>
  <si>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</si>
  <si>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 xml:space="preserve">SOLIDARIDAD </t>
  </si>
  <si>
    <t xml:space="preserve">PROGRESANDO </t>
  </si>
  <si>
    <t>CTC</t>
  </si>
  <si>
    <t xml:space="preserve">CONSOLIDADO </t>
  </si>
  <si>
    <t>2.2.8.3.1</t>
  </si>
  <si>
    <t xml:space="preserve">Servicios Medicos sanitarios </t>
  </si>
  <si>
    <t>2.4.1</t>
  </si>
  <si>
    <t>2.4.1.3</t>
  </si>
  <si>
    <t xml:space="preserve">Transferencias Corrientes al Sector Privado 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</si>
  <si>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</si>
  <si>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</si>
  <si>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</si>
  <si>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</si>
  <si>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</si>
  <si>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</si>
  <si>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</si>
  <si>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</si>
  <si>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</si>
  <si>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 xml:space="preserve">Utiles destinados a actividades recreativas y deportivas </t>
  </si>
  <si>
    <t xml:space="preserve">Diferencias encontradas </t>
  </si>
  <si>
    <t>(valores en RD$)</t>
  </si>
  <si>
    <t>Dietas y Gastos de Representación</t>
  </si>
  <si>
    <t xml:space="preserve">Dietas en el pais </t>
  </si>
  <si>
    <t>2.1.3</t>
  </si>
  <si>
    <t>2.1.3.1.1</t>
  </si>
  <si>
    <t>2.3.1.2</t>
  </si>
  <si>
    <t xml:space="preserve">Madera, Corcho y sus Manufacturas </t>
  </si>
  <si>
    <t>2.3.9.8</t>
  </si>
  <si>
    <t xml:space="preserve">Otros respuestos y accesorios menores 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</si>
  <si>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</si>
  <si>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</si>
  <si>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</si>
  <si>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</si>
  <si>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</si>
  <si>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</si>
  <si>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</si>
  <si>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</si>
  <si>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</si>
  <si>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</si>
  <si>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</si>
  <si>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 xml:space="preserve">Equipos y Aparatos Audiovisuales </t>
  </si>
  <si>
    <t>2.3.7.2.02</t>
  </si>
  <si>
    <t>Productos Fotoquímicos</t>
  </si>
  <si>
    <t>2.6.1.2</t>
  </si>
  <si>
    <t>2.2.8.7.04</t>
  </si>
  <si>
    <t>Servicios de Capacitación</t>
  </si>
  <si>
    <t>2.2.1.7.01</t>
  </si>
  <si>
    <t>2.7.1</t>
  </si>
  <si>
    <t>2.6.5.4</t>
  </si>
  <si>
    <t>Sistema de aire acondicionado y calefacion</t>
  </si>
  <si>
    <t>Alquileres de Equipos de Oficina</t>
  </si>
  <si>
    <t>2.2.5.3.4</t>
  </si>
  <si>
    <t>2.2.7.2.4</t>
  </si>
  <si>
    <t>2.2.7.1.7</t>
  </si>
  <si>
    <t>2.2.7.1.6</t>
  </si>
  <si>
    <t>2.7.1.2</t>
  </si>
  <si>
    <t>MES DE OCTUBRE  2015</t>
  </si>
  <si>
    <t>2.1.1.1.5</t>
  </si>
  <si>
    <t>incentivos y escalofon</t>
  </si>
  <si>
    <t>2.1.4.2.2</t>
  </si>
  <si>
    <t>Gratificaciones por pasantias</t>
  </si>
  <si>
    <t>2.2.3.2</t>
  </si>
  <si>
    <t>Viatico fuera del pais</t>
  </si>
  <si>
    <t>2.2.7.1.2</t>
  </si>
  <si>
    <t>Servicios especiales de mantenimiento y reparacion</t>
  </si>
  <si>
    <t>2.2.7.1.3</t>
  </si>
  <si>
    <t>2.2.7.1.4</t>
  </si>
  <si>
    <t>Instalaciones eléctricas</t>
  </si>
  <si>
    <t>Servicios de pintura y derivados con fin de higiene y embellecimiento</t>
  </si>
  <si>
    <t>2.2.7.2.1</t>
  </si>
  <si>
    <t>Mantenimiento y reparación de equipo educacional</t>
  </si>
  <si>
    <t>2.2.7.2.2</t>
  </si>
  <si>
    <t>2.2.7.2.3</t>
  </si>
  <si>
    <t>2.2.7.2.5</t>
  </si>
  <si>
    <t>2.2.7.2.6</t>
  </si>
  <si>
    <t>2.2.7.2.7</t>
  </si>
  <si>
    <t>2.2.7.2.8</t>
  </si>
  <si>
    <t>2.2.7.3.1</t>
  </si>
  <si>
    <t>Instalaciones temporales</t>
  </si>
  <si>
    <t>2.2.7.1.1</t>
  </si>
  <si>
    <t>Limpieza desmalezamiento de tierras y terrenos</t>
  </si>
  <si>
    <t>Mantenimento y reparaciones de obras civiles en instalaciones varias</t>
  </si>
  <si>
    <t>Mantenimiento y reparación de equipo para computación</t>
  </si>
  <si>
    <t>Mantenimiento y reparacion de equipo de comunicación</t>
  </si>
  <si>
    <t>Mantenimiento  y reparación  de equipos de oficina y muebles</t>
  </si>
  <si>
    <t>Mantenimiento y reparacion de equipo sanitarios y de laboratorio</t>
  </si>
  <si>
    <t>Mantenimiento  y reparación  de equipos de transporte, traccion</t>
  </si>
  <si>
    <t>Mantenimiento y reparacion de equipo de produccion</t>
  </si>
  <si>
    <t>Servicios de mantenimiento, reparacion desmonte e instalacion</t>
  </si>
  <si>
    <t>2.2.8.5.2</t>
  </si>
  <si>
    <t>Lavanderia</t>
  </si>
  <si>
    <t>2.2.8.6.4</t>
  </si>
  <si>
    <t>Actuaciones Artisticas</t>
  </si>
  <si>
    <t>2.2.8.7.5</t>
  </si>
  <si>
    <t>Servicios de informatica y sistemas computarizados</t>
  </si>
  <si>
    <t>2.2.8.7.6</t>
  </si>
  <si>
    <t>Otros servicios tecnicos y profecional</t>
  </si>
  <si>
    <t>2.3.1.3.2</t>
  </si>
  <si>
    <t>2.3.1.3.3</t>
  </si>
  <si>
    <t>Productos agricolas</t>
  </si>
  <si>
    <t>Productos forestales</t>
  </si>
  <si>
    <t>2.3.3.6.1</t>
  </si>
  <si>
    <t>Especies timbrados y valorados</t>
  </si>
  <si>
    <t>2.3.6.3.4</t>
  </si>
  <si>
    <t>Herramientas menores</t>
  </si>
  <si>
    <t>2.3.7.1.3</t>
  </si>
  <si>
    <t>Gas GLP</t>
  </si>
  <si>
    <t>2.3.7.2.3</t>
  </si>
  <si>
    <t>productos quimicos de uso personal</t>
  </si>
  <si>
    <t>2.3.7.2.5</t>
  </si>
  <si>
    <t>Insecticidas, fumigantes y otros</t>
  </si>
  <si>
    <t>2.3.7.2.6</t>
  </si>
  <si>
    <t>Pinturas, Lacas, Barnices, Diluyentes y Absorbentes para pinturas</t>
  </si>
  <si>
    <t>2.4.1.1.1</t>
  </si>
  <si>
    <t>Pensiones</t>
  </si>
  <si>
    <t>2.4.1.2.2</t>
  </si>
  <si>
    <t>AYuda  y donaciones  ocasionales a hogares y peresonal</t>
  </si>
  <si>
    <t>2.1.1.2.2</t>
  </si>
  <si>
    <t xml:space="preserve">Sueldos de personal nominal </t>
  </si>
  <si>
    <t xml:space="preserve">Servicios de Conservación , Reparaciones Menores  e Temporales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</si>
</sst>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0"/>
      <name val="Arial"/>
    </font>
    <font>
      <sz val="10"/>
      <name val="Arial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1"/>
      <name val="Arial Narrow"/>
      <family val="2"/>
    </font>
    <font>
      <sz val="11"/>
      <color indexed="8"/>
      <name val="Arial Narrow"/>
      <family val="2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2" fillId="3" borderId="3" xfId="0" applyFont="1" applyFill="1" applyBorder="1"/>
    <xf numFmtId="43" fontId="0" fillId="0" borderId="0" xfId="0" applyNumberFormat="1"/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6" xfId="0" applyFont="1" applyBorder="1"/>
    <xf numFmtId="0" fontId="4" fillId="2" borderId="7" xfId="0" applyFont="1" applyFill="1" applyBorder="1"/>
    <xf numFmtId="0" fontId="0" fillId="0" borderId="0" xfId="0" applyNumberFormat="1" applyBorder="1"/>
    <xf numFmtId="0" fontId="3" fillId="0" borderId="0" xfId="0" applyFont="1" applyBorder="1"/>
    <xf numFmtId="0" fontId="2" fillId="3" borderId="5" xfId="0" applyFont="1" applyFill="1" applyBorder="1"/>
    <xf numFmtId="0" fontId="9" fillId="0" borderId="0" xfId="0" applyFont="1" applyBorder="1"/>
    <xf numFmtId="0" fontId="9" fillId="0" borderId="11" xfId="0" applyFont="1" applyBorder="1"/>
    <xf numFmtId="0" fontId="4" fillId="2" borderId="7" xfId="0" applyNumberFormat="1" applyFont="1" applyFill="1" applyBorder="1" applyAlignment="1">
      <alignment horizontal="center"/>
    </xf>
    <xf numFmtId="43" fontId="10" fillId="2" borderId="7" xfId="0" applyNumberFormat="1" applyFont="1" applyFill="1" applyBorder="1"/>
    <xf numFmtId="0" fontId="8" fillId="3" borderId="5" xfId="0" applyNumberFormat="1" applyFont="1" applyFill="1" applyBorder="1" applyAlignment="1">
      <alignment horizontal="center"/>
    </xf>
    <xf numFmtId="43" fontId="10" fillId="3" borderId="5" xfId="1" applyFont="1" applyFill="1" applyBorder="1"/>
    <xf numFmtId="43" fontId="9" fillId="0" borderId="3" xfId="1" applyFont="1" applyBorder="1"/>
    <xf numFmtId="0" fontId="9" fillId="0" borderId="3" xfId="0" applyNumberFormat="1" applyFont="1" applyBorder="1" applyAlignment="1">
      <alignment horizontal="center"/>
    </xf>
    <xf numFmtId="0" fontId="8" fillId="3" borderId="3" xfId="0" applyNumberFormat="1" applyFont="1" applyFill="1" applyBorder="1" applyAlignment="1">
      <alignment horizontal="center"/>
    </xf>
    <xf numFmtId="43" fontId="10" fillId="3" borderId="3" xfId="1" applyFont="1" applyFill="1" applyBorder="1"/>
    <xf numFmtId="0" fontId="9" fillId="0" borderId="6" xfId="0" applyNumberFormat="1" applyFont="1" applyBorder="1" applyAlignment="1">
      <alignment horizontal="center"/>
    </xf>
    <xf numFmtId="43" fontId="9" fillId="0" borderId="6" xfId="1" applyFont="1" applyBorder="1"/>
    <xf numFmtId="43" fontId="9" fillId="0" borderId="3" xfId="1" applyFont="1" applyBorder="1" applyAlignment="1">
      <alignment horizontal="right"/>
    </xf>
    <xf numFmtId="43" fontId="10" fillId="3" borderId="5" xfId="0" applyNumberFormat="1" applyFont="1" applyFill="1" applyBorder="1"/>
    <xf numFmtId="49" fontId="3" fillId="0" borderId="13" xfId="0" applyNumberFormat="1" applyFont="1" applyBorder="1" applyAlignment="1">
      <alignment horizontal="center"/>
    </xf>
    <xf numFmtId="43" fontId="9" fillId="0" borderId="13" xfId="1" applyFont="1" applyBorder="1"/>
    <xf numFmtId="43" fontId="12" fillId="0" borderId="0" xfId="0" applyNumberFormat="1" applyFont="1"/>
    <xf numFmtId="0" fontId="13" fillId="0" borderId="0" xfId="0" applyFont="1"/>
    <xf numFmtId="164" fontId="0" fillId="0" borderId="0" xfId="0" applyNumberFormat="1"/>
    <xf numFmtId="0" fontId="10" fillId="0" borderId="7" xfId="0" applyFont="1" applyBorder="1" applyAlignment="1">
      <alignment horizontal="center" vertical="center" wrapText="1"/>
    </xf>
    <xf numFmtId="0" fontId="9" fillId="0" borderId="3" xfId="1" applyNumberFormat="1" applyFont="1" applyBorder="1"/>
    <xf numFmtId="164" fontId="9" fillId="0" borderId="3" xfId="1" applyNumberFormat="1" applyFont="1" applyBorder="1"/>
    <xf numFmtId="49" fontId="3" fillId="5" borderId="14" xfId="0" applyNumberFormat="1" applyFont="1" applyFill="1" applyBorder="1" applyAlignment="1">
      <alignment horizontal="center"/>
    </xf>
    <xf numFmtId="0" fontId="3" fillId="5" borderId="14" xfId="0" applyFont="1" applyFill="1" applyBorder="1"/>
    <xf numFmtId="49" fontId="3" fillId="5" borderId="14" xfId="0" applyNumberFormat="1" applyFont="1" applyFill="1" applyBorder="1" applyAlignment="1">
      <alignment horizontal="left"/>
    </xf>
    <xf numFmtId="0" fontId="15" fillId="0" borderId="3" xfId="0" applyNumberFormat="1" applyFont="1" applyFill="1" applyBorder="1" applyAlignment="1">
      <alignment horizontal="center"/>
    </xf>
    <xf numFmtId="0" fontId="3" fillId="0" borderId="3" xfId="0" applyFont="1" applyFill="1" applyBorder="1"/>
    <xf numFmtId="43" fontId="9" fillId="0" borderId="3" xfId="1" applyFont="1" applyFill="1" applyBorder="1"/>
    <xf numFmtId="43" fontId="9" fillId="4" borderId="3" xfId="1" applyFont="1" applyFill="1" applyBorder="1"/>
    <xf numFmtId="0" fontId="7" fillId="2" borderId="8" xfId="0" applyNumberFormat="1" applyFont="1" applyFill="1" applyBorder="1" applyAlignment="1">
      <alignment horizontal="center"/>
    </xf>
    <xf numFmtId="0" fontId="7" fillId="2" borderId="8" xfId="0" applyFont="1" applyFill="1" applyBorder="1"/>
    <xf numFmtId="43" fontId="11" fillId="2" borderId="8" xfId="1" applyFont="1" applyFill="1" applyBorder="1"/>
    <xf numFmtId="0" fontId="16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1</xdr:col>
      <xdr:colOff>542925</xdr:colOff>
      <xdr:row>6</xdr:row>
      <xdr:rowOff>366280</xdr:rowOff>
    </xdr:to>
    <xdr:pic>
      <xdr:nvPicPr>
        <xdr:cNvPr id="2" name="Picture 2" descr="C:\Users\fr.cardoza.SOLIDARIDAD\Pictures\untitled.bmp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752600" cy="148070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1</xdr:row>
      <xdr:rowOff>209551</xdr:rowOff>
    </xdr:from>
    <xdr:to>
      <xdr:col>5</xdr:col>
      <xdr:colOff>1104900</xdr:colOff>
      <xdr:row>6</xdr:row>
      <xdr:rowOff>333376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542926"/>
          <a:ext cx="17907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G227"/>
  <sheetViews>
    <sheetView tabSelected="1" view="pageBreakPreview" topLeftCell="A145" zoomScaleSheetLayoutView="100" workbookViewId="0">
      <selection activeCell="B154" sqref="B154"/>
    </sheetView>
  </sheetViews>
  <sheetFormatPr baseColWidth="10" defaultRowHeight="12.75" x14ac:dyDescent="0.2"/>
  <cols>
    <col min="1" max="1" width="18.140625" customWidth="1"/>
    <col min="2" max="2" width="51.85546875" customWidth="1"/>
    <col min="3" max="3" width="17.42578125" customWidth="1"/>
    <col min="4" max="4" width="17.42578125" bestFit="1" customWidth="1"/>
    <col min="5" max="5" width="16" customWidth="1"/>
    <col min="6" max="6" width="17.42578125" bestFit="1" customWidth="1"/>
    <col min="7" max="7" width="14.85546875" hidden="1" customWidth="1"/>
  </cols>
  <sheetData>
    <row r="1" spans="1:6" ht="26.25" thickTop="1" x14ac:dyDescent="0.35">
      <c r="A1" s="46" t="s">
        <v>45</v>
      </c>
      <c r="B1" s="47"/>
      <c r="C1" s="47"/>
      <c r="D1" s="47"/>
      <c r="E1" s="47"/>
      <c r="F1" s="48"/>
    </row>
    <row r="2" spans="1:6" ht="23.25" x14ac:dyDescent="0.35">
      <c r="A2" s="49" t="s">
        <v>46</v>
      </c>
      <c r="B2" s="50"/>
      <c r="C2" s="50"/>
      <c r="D2" s="50"/>
      <c r="E2" s="50"/>
      <c r="F2" s="51"/>
    </row>
    <row r="3" spans="1:6" ht="23.25" x14ac:dyDescent="0.35">
      <c r="A3" s="49" t="s">
        <v>234</v>
      </c>
      <c r="B3" s="50"/>
      <c r="C3" s="50"/>
      <c r="D3" s="50"/>
      <c r="E3" s="50"/>
      <c r="F3" s="51"/>
    </row>
    <row r="4" spans="1:6" ht="20.25" x14ac:dyDescent="0.3">
      <c r="A4" s="52" t="s">
        <v>309</v>
      </c>
      <c r="B4" s="53"/>
      <c r="C4" s="53"/>
      <c r="D4" s="53"/>
      <c r="E4" s="53"/>
      <c r="F4" s="54"/>
    </row>
    <row r="5" spans="1:6" ht="20.25" x14ac:dyDescent="0.3">
      <c r="A5" s="52" t="s">
        <v>273</v>
      </c>
      <c r="B5" s="53"/>
      <c r="C5" s="53"/>
      <c r="D5" s="53"/>
      <c r="E5" s="53"/>
      <c r="F5" s="54"/>
    </row>
    <row r="6" spans="1:6" x14ac:dyDescent="0.2">
      <c r="A6" s="55"/>
      <c r="B6" s="56"/>
      <c r="C6" s="56"/>
      <c r="D6" s="56"/>
      <c r="E6" s="56"/>
      <c r="F6" s="57"/>
    </row>
    <row r="7" spans="1:6" ht="31.5" customHeight="1" thickBot="1" x14ac:dyDescent="0.25">
      <c r="C7" s="12"/>
      <c r="D7" s="12"/>
      <c r="E7" s="12"/>
      <c r="F7" s="13"/>
    </row>
    <row r="8" spans="1:6" ht="28.5" customHeight="1" thickTop="1" thickBot="1" x14ac:dyDescent="0.25">
      <c r="A8" s="44" t="s">
        <v>47</v>
      </c>
      <c r="B8" s="45" t="s">
        <v>0</v>
      </c>
      <c r="C8" s="31" t="s">
        <v>253</v>
      </c>
      <c r="D8" s="31" t="s">
        <v>254</v>
      </c>
      <c r="E8" s="31" t="s">
        <v>255</v>
      </c>
      <c r="F8" s="31" t="s">
        <v>256</v>
      </c>
    </row>
    <row r="9" spans="1:6" ht="16.5" thickBot="1" x14ac:dyDescent="0.3">
      <c r="A9" s="14">
        <v>21</v>
      </c>
      <c r="B9" s="8" t="s">
        <v>1</v>
      </c>
      <c r="C9" s="15">
        <f>+C10+C13+C19+C22+C26+C33+C36</f>
        <v>22921112.800000001</v>
      </c>
      <c r="D9" s="15">
        <f t="shared" ref="D9:F9" si="0">+D10+D13+D19+D22+D26+D33+D36</f>
        <v>39940283.060000002</v>
      </c>
      <c r="E9" s="15">
        <f t="shared" si="0"/>
        <v>2306640.25</v>
      </c>
      <c r="F9" s="15">
        <f t="shared" si="0"/>
        <v>65168036.110000007</v>
      </c>
    </row>
    <row r="10" spans="1:6" ht="16.5" x14ac:dyDescent="0.3">
      <c r="A10" s="16" t="s">
        <v>48</v>
      </c>
      <c r="B10" s="11" t="s">
        <v>49</v>
      </c>
      <c r="C10" s="25">
        <f>SUM(C11:C12)</f>
        <v>19781019.84</v>
      </c>
      <c r="D10" s="25">
        <f t="shared" ref="D10:E10" si="1">SUM(D11:D12)</f>
        <v>18235637.829999998</v>
      </c>
      <c r="E10" s="25">
        <f t="shared" si="1"/>
        <v>2173551.65</v>
      </c>
      <c r="F10" s="25">
        <f>SUM(F11:F12)</f>
        <v>40190209.32</v>
      </c>
    </row>
    <row r="11" spans="1:6" x14ac:dyDescent="0.2">
      <c r="A11" s="4" t="s">
        <v>64</v>
      </c>
      <c r="B11" s="5" t="s">
        <v>2</v>
      </c>
      <c r="C11" s="18">
        <v>19781019.84</v>
      </c>
      <c r="D11" s="40">
        <v>18203337.829999998</v>
      </c>
      <c r="E11" s="18">
        <f>2173551.65</f>
        <v>2173551.65</v>
      </c>
      <c r="F11" s="18">
        <f>+C11+D11+E11</f>
        <v>40157909.32</v>
      </c>
    </row>
    <row r="12" spans="1:6" x14ac:dyDescent="0.2">
      <c r="A12" s="19" t="s">
        <v>310</v>
      </c>
      <c r="B12" s="5" t="s">
        <v>311</v>
      </c>
      <c r="C12" s="18"/>
      <c r="D12" s="18">
        <v>32300</v>
      </c>
      <c r="E12" s="18"/>
      <c r="F12" s="18">
        <f>+C12+D12+E12</f>
        <v>32300</v>
      </c>
    </row>
    <row r="13" spans="1:6" ht="16.5" x14ac:dyDescent="0.3">
      <c r="A13" s="20" t="s">
        <v>50</v>
      </c>
      <c r="B13" s="2" t="s">
        <v>51</v>
      </c>
      <c r="C13" s="21">
        <f>SUM(C14:C17)</f>
        <v>89100</v>
      </c>
      <c r="D13" s="21">
        <f>SUM(D14:D17)</f>
        <v>8071470</v>
      </c>
      <c r="E13" s="21">
        <f>SUM(E14:E17)</f>
        <v>55000</v>
      </c>
      <c r="F13" s="21">
        <f>SUM(F14:F18)</f>
        <v>8215570</v>
      </c>
    </row>
    <row r="14" spans="1:6" x14ac:dyDescent="0.2">
      <c r="A14" s="4" t="s">
        <v>61</v>
      </c>
      <c r="B14" s="5" t="s">
        <v>52</v>
      </c>
      <c r="C14" s="18">
        <v>89100</v>
      </c>
      <c r="D14" s="18">
        <f>8126470-E14</f>
        <v>8071470</v>
      </c>
      <c r="E14" s="18">
        <v>55000</v>
      </c>
      <c r="F14" s="18">
        <f>+C14+D14+E14</f>
        <v>8215570</v>
      </c>
    </row>
    <row r="15" spans="1:6" x14ac:dyDescent="0.2">
      <c r="A15" s="4" t="s">
        <v>370</v>
      </c>
      <c r="B15" s="5" t="s">
        <v>371</v>
      </c>
      <c r="C15" s="18"/>
      <c r="D15" s="39"/>
      <c r="E15" s="18"/>
      <c r="F15" s="18">
        <f t="shared" ref="F15:F18" si="2">+C15+D15+E15</f>
        <v>0</v>
      </c>
    </row>
    <row r="16" spans="1:6" x14ac:dyDescent="0.2">
      <c r="A16" s="4" t="s">
        <v>62</v>
      </c>
      <c r="B16" s="5" t="s">
        <v>53</v>
      </c>
      <c r="C16" s="18"/>
      <c r="D16" s="18"/>
      <c r="E16" s="18"/>
      <c r="F16" s="18">
        <f t="shared" si="2"/>
        <v>0</v>
      </c>
    </row>
    <row r="17" spans="1:6" x14ac:dyDescent="0.2">
      <c r="A17" s="4" t="s">
        <v>63</v>
      </c>
      <c r="B17" s="5" t="s">
        <v>54</v>
      </c>
      <c r="C17" s="18"/>
      <c r="D17" s="18"/>
      <c r="E17" s="18"/>
      <c r="F17" s="18">
        <f t="shared" si="2"/>
        <v>0</v>
      </c>
    </row>
    <row r="18" spans="1:6" x14ac:dyDescent="0.2">
      <c r="A18" s="4"/>
      <c r="B18" s="5"/>
      <c r="C18" s="18"/>
      <c r="D18" s="18"/>
      <c r="E18" s="18"/>
      <c r="F18" s="18">
        <f t="shared" si="2"/>
        <v>0</v>
      </c>
    </row>
    <row r="19" spans="1:6" ht="16.5" x14ac:dyDescent="0.3">
      <c r="A19" s="20" t="s">
        <v>55</v>
      </c>
      <c r="B19" s="2" t="s">
        <v>56</v>
      </c>
      <c r="C19" s="21">
        <f>SUM(C20:C21)</f>
        <v>0</v>
      </c>
      <c r="D19" s="21">
        <f>SUM(D20:D21)</f>
        <v>0</v>
      </c>
      <c r="E19" s="21">
        <f>SUM(E20:E21)</f>
        <v>0</v>
      </c>
      <c r="F19" s="21">
        <f>SUM(F20:F21)</f>
        <v>0</v>
      </c>
    </row>
    <row r="20" spans="1:6" x14ac:dyDescent="0.2">
      <c r="A20" s="4" t="s">
        <v>57</v>
      </c>
      <c r="B20" s="5" t="s">
        <v>58</v>
      </c>
      <c r="C20" s="18"/>
      <c r="D20" s="18"/>
      <c r="E20" s="18"/>
      <c r="F20" s="18">
        <f t="shared" ref="F20:F72" si="3">+C20+D20+E20</f>
        <v>0</v>
      </c>
    </row>
    <row r="21" spans="1:6" x14ac:dyDescent="0.2">
      <c r="A21" s="4"/>
      <c r="B21" s="5"/>
      <c r="C21" s="18"/>
      <c r="D21" s="18"/>
      <c r="E21" s="18"/>
      <c r="F21" s="18">
        <f t="shared" si="3"/>
        <v>0</v>
      </c>
    </row>
    <row r="22" spans="1:6" ht="16.5" x14ac:dyDescent="0.3">
      <c r="A22" s="20" t="s">
        <v>59</v>
      </c>
      <c r="B22" s="2" t="s">
        <v>60</v>
      </c>
      <c r="C22" s="21">
        <f>SUM(C23:C25)</f>
        <v>0</v>
      </c>
      <c r="D22" s="21">
        <f>SUM(D23:D25)</f>
        <v>94367.78</v>
      </c>
      <c r="E22" s="21">
        <f>SUM(E23:E25)</f>
        <v>78088.600000000006</v>
      </c>
      <c r="F22" s="21">
        <f>SUM(F23:F25)</f>
        <v>172456.38</v>
      </c>
    </row>
    <row r="23" spans="1:6" x14ac:dyDescent="0.2">
      <c r="A23" s="4" t="s">
        <v>65</v>
      </c>
      <c r="B23" s="5" t="s">
        <v>66</v>
      </c>
      <c r="C23" s="18"/>
      <c r="D23" s="18"/>
      <c r="E23" s="18">
        <f>27000+27000</f>
        <v>54000</v>
      </c>
      <c r="F23" s="18">
        <f>+C23+D23+E23</f>
        <v>54000</v>
      </c>
    </row>
    <row r="24" spans="1:6" x14ac:dyDescent="0.2">
      <c r="A24" s="4" t="s">
        <v>67</v>
      </c>
      <c r="B24" s="5" t="s">
        <v>68</v>
      </c>
      <c r="C24" s="18"/>
      <c r="D24" s="18">
        <f>118456.38-E24</f>
        <v>94367.78</v>
      </c>
      <c r="E24" s="18">
        <f>12044.3+12044.3</f>
        <v>24088.6</v>
      </c>
      <c r="F24" s="18">
        <f>+C24+D24+E24</f>
        <v>118456.38</v>
      </c>
    </row>
    <row r="25" spans="1:6" x14ac:dyDescent="0.2">
      <c r="A25" s="19"/>
      <c r="B25" s="5"/>
      <c r="C25" s="18"/>
      <c r="D25" s="18"/>
      <c r="E25" s="18"/>
      <c r="F25" s="32"/>
    </row>
    <row r="26" spans="1:6" ht="16.5" x14ac:dyDescent="0.3">
      <c r="A26" s="20" t="s">
        <v>69</v>
      </c>
      <c r="B26" s="2" t="s">
        <v>70</v>
      </c>
      <c r="C26" s="21">
        <f>SUM(C27:C32)</f>
        <v>41500</v>
      </c>
      <c r="D26" s="21">
        <f>SUM(D27:D32)</f>
        <v>1924900.53</v>
      </c>
      <c r="E26" s="21">
        <f>SUM(E27:E32)</f>
        <v>0</v>
      </c>
      <c r="F26" s="21">
        <f>SUM(F27:F32)</f>
        <v>1966400.53</v>
      </c>
    </row>
    <row r="27" spans="1:6" x14ac:dyDescent="0.2">
      <c r="A27" s="4" t="s">
        <v>71</v>
      </c>
      <c r="B27" s="5" t="s">
        <v>73</v>
      </c>
      <c r="C27" s="18"/>
      <c r="D27" s="18">
        <v>280476.15000000002</v>
      </c>
      <c r="E27" s="18"/>
      <c r="F27" s="18">
        <f t="shared" si="3"/>
        <v>280476.15000000002</v>
      </c>
    </row>
    <row r="28" spans="1:6" x14ac:dyDescent="0.2">
      <c r="A28" s="4" t="s">
        <v>72</v>
      </c>
      <c r="B28" s="5" t="s">
        <v>74</v>
      </c>
      <c r="C28" s="18"/>
      <c r="D28" s="18">
        <v>22824.38</v>
      </c>
      <c r="E28" s="18"/>
      <c r="F28" s="18">
        <f t="shared" si="3"/>
        <v>22824.38</v>
      </c>
    </row>
    <row r="29" spans="1:6" x14ac:dyDescent="0.2">
      <c r="A29" s="4" t="s">
        <v>77</v>
      </c>
      <c r="B29" s="5" t="s">
        <v>78</v>
      </c>
      <c r="C29" s="18">
        <v>41500</v>
      </c>
      <c r="D29" s="18">
        <v>1621600</v>
      </c>
      <c r="E29" s="18"/>
      <c r="F29" s="18">
        <f t="shared" si="3"/>
        <v>1663100</v>
      </c>
    </row>
    <row r="30" spans="1:6" x14ac:dyDescent="0.2">
      <c r="A30" s="4" t="s">
        <v>227</v>
      </c>
      <c r="B30" s="5" t="s">
        <v>228</v>
      </c>
      <c r="C30" s="18"/>
      <c r="D30" s="18"/>
      <c r="E30" s="18"/>
      <c r="F30" s="18">
        <f t="shared" si="3"/>
        <v>0</v>
      </c>
    </row>
    <row r="31" spans="1:6" x14ac:dyDescent="0.2">
      <c r="A31" s="4" t="s">
        <v>75</v>
      </c>
      <c r="B31" s="5" t="s">
        <v>76</v>
      </c>
      <c r="C31" s="18"/>
      <c r="D31" s="18"/>
      <c r="E31" s="18"/>
      <c r="F31" s="18">
        <f t="shared" si="3"/>
        <v>0</v>
      </c>
    </row>
    <row r="32" spans="1:6" x14ac:dyDescent="0.2">
      <c r="A32" s="19"/>
      <c r="B32" s="5"/>
      <c r="C32" s="18"/>
      <c r="D32" s="18"/>
      <c r="E32" s="18"/>
      <c r="F32" s="18">
        <f t="shared" si="3"/>
        <v>0</v>
      </c>
    </row>
    <row r="33" spans="1:6" ht="16.5" x14ac:dyDescent="0.3">
      <c r="A33" s="20" t="s">
        <v>276</v>
      </c>
      <c r="B33" s="2" t="s">
        <v>274</v>
      </c>
      <c r="C33" s="21">
        <f>SUM(C34:C35)</f>
        <v>0</v>
      </c>
      <c r="D33" s="21">
        <f>SUM(D34:D35)</f>
        <v>41170.5</v>
      </c>
      <c r="E33" s="21">
        <f t="shared" ref="E33" si="4">SUM(E34:E35)</f>
        <v>0</v>
      </c>
      <c r="F33" s="21">
        <f>SUM(F34:F35)</f>
        <v>41170.5</v>
      </c>
    </row>
    <row r="34" spans="1:6" x14ac:dyDescent="0.2">
      <c r="A34" s="4" t="s">
        <v>277</v>
      </c>
      <c r="B34" s="5" t="s">
        <v>275</v>
      </c>
      <c r="C34" s="18"/>
      <c r="D34" s="18">
        <v>1170.5</v>
      </c>
      <c r="E34" s="18"/>
      <c r="F34" s="18">
        <f t="shared" ref="F34:F35" si="5">+C34+D34+E34</f>
        <v>1170.5</v>
      </c>
    </row>
    <row r="35" spans="1:6" x14ac:dyDescent="0.2">
      <c r="A35" s="19" t="s">
        <v>312</v>
      </c>
      <c r="B35" s="5" t="s">
        <v>313</v>
      </c>
      <c r="C35" s="18"/>
      <c r="D35" s="18">
        <v>40000</v>
      </c>
      <c r="E35" s="18"/>
      <c r="F35" s="18">
        <f t="shared" si="5"/>
        <v>40000</v>
      </c>
    </row>
    <row r="36" spans="1:6" ht="16.5" x14ac:dyDescent="0.3">
      <c r="A36" s="20" t="s">
        <v>79</v>
      </c>
      <c r="B36" s="2" t="s">
        <v>84</v>
      </c>
      <c r="C36" s="21">
        <f>SUM(C37:C40)</f>
        <v>3009492.96</v>
      </c>
      <c r="D36" s="21">
        <f>SUM(D37:D40)</f>
        <v>11572736.42</v>
      </c>
      <c r="E36" s="21">
        <f>SUM(E37:E40)</f>
        <v>0</v>
      </c>
      <c r="F36" s="21">
        <f>SUM(F37:F40)</f>
        <v>14582229.380000001</v>
      </c>
    </row>
    <row r="37" spans="1:6" x14ac:dyDescent="0.2">
      <c r="A37" s="19" t="s">
        <v>80</v>
      </c>
      <c r="B37" s="5" t="s">
        <v>81</v>
      </c>
      <c r="C37" s="18">
        <v>1396283.34</v>
      </c>
      <c r="D37" s="18">
        <v>5367763.7699999996</v>
      </c>
      <c r="E37" s="18"/>
      <c r="F37" s="18">
        <f>+C37+D37+E37</f>
        <v>6764047.1099999994</v>
      </c>
    </row>
    <row r="38" spans="1:6" x14ac:dyDescent="0.2">
      <c r="A38" s="19" t="s">
        <v>82</v>
      </c>
      <c r="B38" s="5" t="s">
        <v>3</v>
      </c>
      <c r="C38" s="18">
        <v>1405252.72</v>
      </c>
      <c r="D38" s="18">
        <v>5465553.7599999998</v>
      </c>
      <c r="E38" s="18"/>
      <c r="F38" s="18">
        <f t="shared" si="3"/>
        <v>6870806.4799999995</v>
      </c>
    </row>
    <row r="39" spans="1:6" x14ac:dyDescent="0.2">
      <c r="A39" s="19" t="s">
        <v>83</v>
      </c>
      <c r="B39" s="5" t="s">
        <v>4</v>
      </c>
      <c r="C39" s="18">
        <v>207956.9</v>
      </c>
      <c r="D39" s="18"/>
      <c r="E39" s="18"/>
      <c r="F39" s="18">
        <f t="shared" si="3"/>
        <v>207956.9</v>
      </c>
    </row>
    <row r="40" spans="1:6" ht="13.5" thickBot="1" x14ac:dyDescent="0.25">
      <c r="A40" s="22"/>
      <c r="B40" s="7"/>
      <c r="C40" s="23"/>
      <c r="D40" s="23">
        <v>739418.89</v>
      </c>
      <c r="E40" s="23"/>
      <c r="F40" s="23">
        <f t="shared" si="3"/>
        <v>739418.89</v>
      </c>
    </row>
    <row r="41" spans="1:6" ht="16.5" thickBot="1" x14ac:dyDescent="0.3">
      <c r="A41" s="14">
        <v>2.2000000000000002</v>
      </c>
      <c r="B41" s="8" t="s">
        <v>5</v>
      </c>
      <c r="C41" s="15">
        <f>+C42+C50+C54+C57+C62+C69+C73+C89+C102</f>
        <v>2038026.2800000003</v>
      </c>
      <c r="D41" s="15">
        <f t="shared" ref="D41:E41" si="6">+D42+D50+D54+D57+D62+D69+D73+D89+D102</f>
        <v>50998698.219999999</v>
      </c>
      <c r="E41" s="15">
        <f t="shared" si="6"/>
        <v>5819116.8699999992</v>
      </c>
      <c r="F41" s="15">
        <f>+F42+F50+F54+F57+F62+F69+F73+F89+F102</f>
        <v>58855841.369999997</v>
      </c>
    </row>
    <row r="42" spans="1:6" ht="16.5" x14ac:dyDescent="0.3">
      <c r="A42" s="16" t="s">
        <v>85</v>
      </c>
      <c r="B42" s="11" t="s">
        <v>86</v>
      </c>
      <c r="C42" s="17">
        <f>SUM(C43:C48)</f>
        <v>-3502048.96</v>
      </c>
      <c r="D42" s="17">
        <f t="shared" ref="D42" si="7">SUM(D43:D49)</f>
        <v>5021753.08</v>
      </c>
      <c r="E42" s="17">
        <f>SUM(E43:E49)</f>
        <v>1010582.52</v>
      </c>
      <c r="F42" s="17">
        <f>SUM(F43:F49)</f>
        <v>2530286.6400000006</v>
      </c>
    </row>
    <row r="43" spans="1:6" x14ac:dyDescent="0.2">
      <c r="A43" s="19" t="s">
        <v>87</v>
      </c>
      <c r="B43" s="5" t="s">
        <v>91</v>
      </c>
      <c r="C43" s="18">
        <v>-2706391.53</v>
      </c>
      <c r="D43" s="18">
        <f>2455897.66-E43</f>
        <v>2450453.9900000002</v>
      </c>
      <c r="E43" s="18">
        <f>3056.55+2387.12</f>
        <v>5443.67</v>
      </c>
      <c r="F43" s="18">
        <f t="shared" si="3"/>
        <v>-250493.86999999956</v>
      </c>
    </row>
    <row r="44" spans="1:6" x14ac:dyDescent="0.2">
      <c r="A44" s="19" t="s">
        <v>88</v>
      </c>
      <c r="B44" s="5" t="s">
        <v>92</v>
      </c>
      <c r="C44" s="18">
        <v>-795657.43</v>
      </c>
      <c r="D44" s="18"/>
      <c r="E44" s="18"/>
      <c r="F44" s="18">
        <f t="shared" si="3"/>
        <v>-795657.43</v>
      </c>
    </row>
    <row r="45" spans="1:6" x14ac:dyDescent="0.2">
      <c r="A45" s="19" t="s">
        <v>89</v>
      </c>
      <c r="B45" s="5" t="s">
        <v>93</v>
      </c>
      <c r="C45" s="24"/>
      <c r="D45" s="18">
        <f>1778593.36-E45</f>
        <v>1628598.12</v>
      </c>
      <c r="E45" s="18">
        <f>124859.24+25136</f>
        <v>149995.24</v>
      </c>
      <c r="F45" s="18">
        <f t="shared" si="3"/>
        <v>1778593.36</v>
      </c>
    </row>
    <row r="46" spans="1:6" x14ac:dyDescent="0.2">
      <c r="A46" s="19" t="s">
        <v>90</v>
      </c>
      <c r="B46" s="5" t="s">
        <v>94</v>
      </c>
      <c r="C46" s="18"/>
      <c r="D46" s="18">
        <f>1790241.58-E46</f>
        <v>942700.97000000009</v>
      </c>
      <c r="E46" s="18">
        <f>32601.52+518200.96+296738.13</f>
        <v>847540.61</v>
      </c>
      <c r="F46" s="18">
        <f t="shared" si="3"/>
        <v>1790241.58</v>
      </c>
    </row>
    <row r="47" spans="1:6" x14ac:dyDescent="0.2">
      <c r="A47" s="19" t="s">
        <v>299</v>
      </c>
      <c r="B47" s="38" t="s">
        <v>224</v>
      </c>
      <c r="C47" s="18"/>
      <c r="D47" s="18"/>
      <c r="E47" s="18">
        <v>6600</v>
      </c>
      <c r="F47" s="18">
        <f t="shared" si="3"/>
        <v>6600</v>
      </c>
    </row>
    <row r="48" spans="1:6" x14ac:dyDescent="0.2">
      <c r="A48" s="19" t="s">
        <v>236</v>
      </c>
      <c r="B48" s="5" t="s">
        <v>225</v>
      </c>
      <c r="C48" s="18"/>
      <c r="D48" s="18"/>
      <c r="E48" s="18">
        <v>1003</v>
      </c>
      <c r="F48" s="18">
        <f t="shared" si="3"/>
        <v>1003</v>
      </c>
    </row>
    <row r="49" spans="1:6" x14ac:dyDescent="0.2">
      <c r="A49" s="19"/>
      <c r="B49" s="5"/>
      <c r="C49" s="18"/>
      <c r="D49" s="18"/>
      <c r="E49" s="18"/>
      <c r="F49" s="18">
        <f t="shared" si="3"/>
        <v>0</v>
      </c>
    </row>
    <row r="50" spans="1:6" ht="16.5" x14ac:dyDescent="0.3">
      <c r="A50" s="20" t="s">
        <v>95</v>
      </c>
      <c r="B50" s="2" t="s">
        <v>6</v>
      </c>
      <c r="C50" s="21">
        <f>SUM(C51:C53)</f>
        <v>0</v>
      </c>
      <c r="D50" s="21">
        <f t="shared" ref="D50:E50" si="8">SUM(D51:D53)</f>
        <v>1568198.82</v>
      </c>
      <c r="E50" s="21">
        <f t="shared" si="8"/>
        <v>153066.04999999999</v>
      </c>
      <c r="F50" s="21">
        <f>SUM(F51:F53)</f>
        <v>1721264.87</v>
      </c>
    </row>
    <row r="51" spans="1:6" x14ac:dyDescent="0.2">
      <c r="A51" s="6" t="s">
        <v>98</v>
      </c>
      <c r="B51" s="5" t="s">
        <v>96</v>
      </c>
      <c r="C51" s="18"/>
      <c r="D51" s="18">
        <v>1220969.06</v>
      </c>
      <c r="E51" s="18"/>
      <c r="F51" s="18">
        <f>+C51+D51+E51</f>
        <v>1220969.06</v>
      </c>
    </row>
    <row r="52" spans="1:6" x14ac:dyDescent="0.2">
      <c r="A52" s="6" t="s">
        <v>97</v>
      </c>
      <c r="B52" s="5" t="s">
        <v>7</v>
      </c>
      <c r="C52" s="18"/>
      <c r="D52" s="18">
        <f>500295.81-E52</f>
        <v>347229.76</v>
      </c>
      <c r="E52" s="18">
        <f>28910+54712.6+68959.2+484.25</f>
        <v>153066.04999999999</v>
      </c>
      <c r="F52" s="18">
        <f>+C52+D52+E52</f>
        <v>500295.81</v>
      </c>
    </row>
    <row r="53" spans="1:6" x14ac:dyDescent="0.2">
      <c r="A53" s="19"/>
      <c r="B53" s="5"/>
      <c r="C53" s="18"/>
      <c r="D53" s="18"/>
      <c r="E53" s="18"/>
      <c r="F53" s="18">
        <f t="shared" si="3"/>
        <v>0</v>
      </c>
    </row>
    <row r="54" spans="1:6" ht="16.5" x14ac:dyDescent="0.3">
      <c r="A54" s="20" t="s">
        <v>99</v>
      </c>
      <c r="B54" s="2" t="s">
        <v>8</v>
      </c>
      <c r="C54" s="21">
        <f>SUM(C55:C56)</f>
        <v>0</v>
      </c>
      <c r="D54" s="21">
        <f>SUM(D55:D56)</f>
        <v>1588799.68</v>
      </c>
      <c r="E54" s="21">
        <f>SUM(E55:E56)</f>
        <v>352430.7</v>
      </c>
      <c r="F54" s="21">
        <f>SUM(F55:F56)</f>
        <v>1941230.38</v>
      </c>
    </row>
    <row r="55" spans="1:6" x14ac:dyDescent="0.2">
      <c r="A55" s="19" t="s">
        <v>100</v>
      </c>
      <c r="B55" s="5" t="s">
        <v>9</v>
      </c>
      <c r="C55" s="18"/>
      <c r="D55" s="18">
        <f>1926100.18-E55</f>
        <v>1573669.48</v>
      </c>
      <c r="E55" s="18">
        <f>9200+2400+6000+1500+6300+4700+2400+4100+3500+3600+3500+80300+4730+1200+1500+1200+600+28000+25000+7700+7700+1200+1500+1200+5400+6100+11100+7700+7700+2700+800+7700+6600+700+1500+1200+1800+15130.2+1200+1500+700+3000+1100+1800+7700+7700+1500+1500+1500+1500+3000+2500+2500+1200+2400+2500+2000+2900+10200+6900+470.5</f>
        <v>352430.7</v>
      </c>
      <c r="F55" s="18">
        <f>+C55+D55+E55</f>
        <v>1926100.18</v>
      </c>
    </row>
    <row r="56" spans="1:6" x14ac:dyDescent="0.2">
      <c r="A56" s="19" t="s">
        <v>314</v>
      </c>
      <c r="B56" s="5" t="s">
        <v>315</v>
      </c>
      <c r="C56" s="18"/>
      <c r="D56" s="18">
        <v>15130.2</v>
      </c>
      <c r="E56" s="18"/>
      <c r="F56" s="33">
        <f>+C56+D56+E56</f>
        <v>15130.2</v>
      </c>
    </row>
    <row r="57" spans="1:6" ht="16.5" x14ac:dyDescent="0.3">
      <c r="A57" s="20" t="s">
        <v>101</v>
      </c>
      <c r="B57" s="2" t="s">
        <v>10</v>
      </c>
      <c r="C57" s="21">
        <f>SUM(C58:C60)</f>
        <v>0</v>
      </c>
      <c r="D57" s="21">
        <f t="shared" ref="D57:E57" si="9">SUM(D58:D60)</f>
        <v>35161803.399999999</v>
      </c>
      <c r="E57" s="21">
        <f t="shared" si="9"/>
        <v>487915</v>
      </c>
      <c r="F57" s="21">
        <f>SUM(F58:F61)</f>
        <v>35649718.399999999</v>
      </c>
    </row>
    <row r="58" spans="1:6" x14ac:dyDescent="0.2">
      <c r="A58" s="6" t="s">
        <v>102</v>
      </c>
      <c r="B58" s="5" t="s">
        <v>103</v>
      </c>
      <c r="C58" s="18"/>
      <c r="D58" s="18">
        <f>35629522.4-E58</f>
        <v>35146179.399999999</v>
      </c>
      <c r="E58" s="18">
        <f>16000+58928+150+1620+1200+2780+57000+22250+90+37800+37800+37800+5150+77900+61250+11600+22000+8825+23200</f>
        <v>483343</v>
      </c>
      <c r="F58" s="18">
        <f>SUM(C58:E58)</f>
        <v>35629522.399999999</v>
      </c>
    </row>
    <row r="59" spans="1:6" x14ac:dyDescent="0.2">
      <c r="A59" s="6" t="s">
        <v>104</v>
      </c>
      <c r="B59" s="5" t="s">
        <v>11</v>
      </c>
      <c r="C59" s="18"/>
      <c r="D59" s="18">
        <f>3289-E59</f>
        <v>850</v>
      </c>
      <c r="E59" s="18">
        <v>2439</v>
      </c>
      <c r="F59" s="18">
        <f t="shared" ref="F59:F60" si="10">SUM(C59:E59)</f>
        <v>3289</v>
      </c>
    </row>
    <row r="60" spans="1:6" x14ac:dyDescent="0.2">
      <c r="A60" s="6" t="s">
        <v>105</v>
      </c>
      <c r="B60" s="5" t="s">
        <v>12</v>
      </c>
      <c r="C60" s="18"/>
      <c r="D60" s="18">
        <f>16907-E60</f>
        <v>14774</v>
      </c>
      <c r="E60" s="18">
        <f>30+30+60+1438+30+50+60+435</f>
        <v>2133</v>
      </c>
      <c r="F60" s="18">
        <f t="shared" si="10"/>
        <v>16907</v>
      </c>
    </row>
    <row r="61" spans="1:6" x14ac:dyDescent="0.2">
      <c r="A61" s="19"/>
      <c r="B61" s="5"/>
      <c r="C61" s="18"/>
      <c r="D61" s="18"/>
      <c r="E61" s="18"/>
      <c r="F61" s="18">
        <f t="shared" si="3"/>
        <v>0</v>
      </c>
    </row>
    <row r="62" spans="1:6" ht="16.5" x14ac:dyDescent="0.3">
      <c r="A62" s="20" t="s">
        <v>106</v>
      </c>
      <c r="B62" s="2" t="s">
        <v>107</v>
      </c>
      <c r="C62" s="21">
        <f>SUM(C63:C67)</f>
        <v>206742.24</v>
      </c>
      <c r="D62" s="21">
        <f>SUM(D63:D67)</f>
        <v>1671219.91</v>
      </c>
      <c r="E62" s="21">
        <f>SUM(E63:E67)</f>
        <v>2514330.84</v>
      </c>
      <c r="F62" s="21">
        <f>SUM(F63:F68)</f>
        <v>4392292.9899999993</v>
      </c>
    </row>
    <row r="63" spans="1:6" x14ac:dyDescent="0.2">
      <c r="A63" s="6" t="s">
        <v>108</v>
      </c>
      <c r="B63" s="5" t="s">
        <v>112</v>
      </c>
      <c r="C63" s="18">
        <v>206742.24</v>
      </c>
      <c r="D63" s="18">
        <v>206968.64</v>
      </c>
      <c r="E63" s="18"/>
      <c r="F63" s="18">
        <f>SUM(C63:E63)</f>
        <v>413710.88</v>
      </c>
    </row>
    <row r="64" spans="1:6" x14ac:dyDescent="0.2">
      <c r="A64" s="6" t="s">
        <v>109</v>
      </c>
      <c r="B64" s="5" t="s">
        <v>113</v>
      </c>
      <c r="C64" s="18"/>
      <c r="D64" s="18"/>
      <c r="E64" s="18"/>
      <c r="F64" s="18">
        <f t="shared" ref="F64:F68" si="11">SUM(C64:E64)</f>
        <v>0</v>
      </c>
    </row>
    <row r="65" spans="1:6" x14ac:dyDescent="0.2">
      <c r="A65" s="6" t="s">
        <v>304</v>
      </c>
      <c r="B65" s="5" t="s">
        <v>303</v>
      </c>
      <c r="C65" s="18"/>
      <c r="D65" s="18"/>
      <c r="E65" s="18">
        <v>2211041.34</v>
      </c>
      <c r="F65" s="18">
        <f t="shared" si="11"/>
        <v>2211041.34</v>
      </c>
    </row>
    <row r="66" spans="1:6" x14ac:dyDescent="0.2">
      <c r="A66" s="6" t="s">
        <v>110</v>
      </c>
      <c r="B66" s="5" t="s">
        <v>114</v>
      </c>
      <c r="C66" s="18"/>
      <c r="D66" s="18">
        <v>350680.63</v>
      </c>
      <c r="E66" s="18"/>
      <c r="F66" s="18">
        <f t="shared" si="11"/>
        <v>350680.63</v>
      </c>
    </row>
    <row r="67" spans="1:6" x14ac:dyDescent="0.2">
      <c r="A67" s="6" t="s">
        <v>111</v>
      </c>
      <c r="B67" s="5" t="s">
        <v>13</v>
      </c>
      <c r="C67" s="18"/>
      <c r="D67" s="18">
        <f>1416860.14-E67</f>
        <v>1113570.6399999999</v>
      </c>
      <c r="E67" s="18">
        <f>27287.5+245322+15340+15340</f>
        <v>303289.5</v>
      </c>
      <c r="F67" s="18">
        <f t="shared" si="11"/>
        <v>1416860.14</v>
      </c>
    </row>
    <row r="68" spans="1:6" x14ac:dyDescent="0.2">
      <c r="A68" s="19"/>
      <c r="B68" s="5"/>
      <c r="C68" s="18"/>
      <c r="D68" s="18"/>
      <c r="E68" s="18"/>
      <c r="F68" s="18">
        <f t="shared" si="11"/>
        <v>0</v>
      </c>
    </row>
    <row r="69" spans="1:6" ht="16.5" x14ac:dyDescent="0.3">
      <c r="A69" s="20" t="s">
        <v>115</v>
      </c>
      <c r="B69" s="2" t="s">
        <v>14</v>
      </c>
      <c r="C69" s="21">
        <f>SUM(C70:C72)</f>
        <v>0</v>
      </c>
      <c r="D69" s="21">
        <f t="shared" ref="D69:F69" si="12">SUM(D70:D72)</f>
        <v>0</v>
      </c>
      <c r="E69" s="21">
        <f t="shared" si="12"/>
        <v>0</v>
      </c>
      <c r="F69" s="21">
        <f t="shared" si="12"/>
        <v>0</v>
      </c>
    </row>
    <row r="70" spans="1:6" x14ac:dyDescent="0.2">
      <c r="A70" s="6" t="s">
        <v>116</v>
      </c>
      <c r="B70" s="5" t="s">
        <v>117</v>
      </c>
      <c r="C70" s="18"/>
      <c r="D70" s="18"/>
      <c r="E70" s="18"/>
      <c r="F70" s="18">
        <f t="shared" si="3"/>
        <v>0</v>
      </c>
    </row>
    <row r="71" spans="1:6" x14ac:dyDescent="0.2">
      <c r="A71" s="6" t="s">
        <v>118</v>
      </c>
      <c r="B71" s="5" t="s">
        <v>119</v>
      </c>
      <c r="C71" s="18"/>
      <c r="D71" s="18"/>
      <c r="E71" s="18"/>
      <c r="F71" s="18">
        <f t="shared" si="3"/>
        <v>0</v>
      </c>
    </row>
    <row r="72" spans="1:6" x14ac:dyDescent="0.2">
      <c r="A72" s="6" t="s">
        <v>120</v>
      </c>
      <c r="B72" s="5" t="s">
        <v>15</v>
      </c>
      <c r="C72" s="18"/>
      <c r="D72" s="18"/>
      <c r="E72" s="18"/>
      <c r="F72" s="18">
        <f t="shared" si="3"/>
        <v>0</v>
      </c>
    </row>
    <row r="73" spans="1:6" ht="18" customHeight="1" x14ac:dyDescent="0.3">
      <c r="A73" s="20" t="s">
        <v>121</v>
      </c>
      <c r="B73" s="2" t="s">
        <v>372</v>
      </c>
      <c r="C73" s="21">
        <f>SUM(C74:C88)</f>
        <v>0</v>
      </c>
      <c r="D73" s="21">
        <f>SUM(D74:D88)</f>
        <v>5010093.0200000014</v>
      </c>
      <c r="E73" s="21">
        <f>SUM(E74:E88)</f>
        <v>992136.88</v>
      </c>
      <c r="F73" s="21">
        <f>SUM(F74:F88)</f>
        <v>6002229.9000000004</v>
      </c>
    </row>
    <row r="74" spans="1:6" ht="18" customHeight="1" x14ac:dyDescent="0.2">
      <c r="A74" s="34" t="s">
        <v>332</v>
      </c>
      <c r="B74" s="35" t="s">
        <v>122</v>
      </c>
      <c r="C74" s="18"/>
      <c r="D74" s="18"/>
      <c r="E74" s="18">
        <v>540784.5</v>
      </c>
      <c r="F74" s="18">
        <f>+C74+D74+E74</f>
        <v>540784.5</v>
      </c>
    </row>
    <row r="75" spans="1:6" ht="18" customHeight="1" x14ac:dyDescent="0.2">
      <c r="A75" s="34" t="s">
        <v>316</v>
      </c>
      <c r="B75" s="35" t="s">
        <v>317</v>
      </c>
      <c r="C75" s="18"/>
      <c r="D75" s="18">
        <v>2074082.73</v>
      </c>
      <c r="E75" s="18"/>
      <c r="F75" s="18">
        <f t="shared" ref="F75:F88" si="13">+C75+D75+E75</f>
        <v>2074082.73</v>
      </c>
    </row>
    <row r="76" spans="1:6" ht="18" customHeight="1" x14ac:dyDescent="0.2">
      <c r="A76" s="34" t="s">
        <v>318</v>
      </c>
      <c r="B76" s="35" t="s">
        <v>333</v>
      </c>
      <c r="C76" s="18"/>
      <c r="D76" s="18"/>
      <c r="E76" s="18"/>
      <c r="F76" s="18">
        <f t="shared" si="13"/>
        <v>0</v>
      </c>
    </row>
    <row r="77" spans="1:6" ht="18" customHeight="1" x14ac:dyDescent="0.2">
      <c r="A77" s="34" t="s">
        <v>319</v>
      </c>
      <c r="B77" s="35" t="s">
        <v>334</v>
      </c>
      <c r="C77" s="18"/>
      <c r="D77" s="18"/>
      <c r="E77" s="18"/>
      <c r="F77" s="18">
        <f t="shared" si="13"/>
        <v>0</v>
      </c>
    </row>
    <row r="78" spans="1:6" ht="18" customHeight="1" x14ac:dyDescent="0.2">
      <c r="A78" s="34" t="s">
        <v>307</v>
      </c>
      <c r="B78" s="35" t="s">
        <v>320</v>
      </c>
      <c r="C78" s="18"/>
      <c r="D78" s="18"/>
      <c r="E78" s="18">
        <v>41300</v>
      </c>
      <c r="F78" s="18">
        <f t="shared" si="13"/>
        <v>41300</v>
      </c>
    </row>
    <row r="79" spans="1:6" ht="18" customHeight="1" x14ac:dyDescent="0.2">
      <c r="A79" s="34" t="s">
        <v>306</v>
      </c>
      <c r="B79" s="35" t="s">
        <v>321</v>
      </c>
      <c r="C79" s="18"/>
      <c r="D79" s="18">
        <f>510051.02-E79</f>
        <v>506352.22000000003</v>
      </c>
      <c r="E79" s="18">
        <v>3698.8</v>
      </c>
      <c r="F79" s="18">
        <f t="shared" si="13"/>
        <v>510051.02</v>
      </c>
    </row>
    <row r="80" spans="1:6" ht="18" customHeight="1" x14ac:dyDescent="0.2">
      <c r="A80" s="34" t="s">
        <v>322</v>
      </c>
      <c r="B80" s="35" t="s">
        <v>323</v>
      </c>
      <c r="C80" s="18"/>
      <c r="D80" s="18"/>
      <c r="E80" s="18">
        <v>349010.92</v>
      </c>
      <c r="F80" s="18">
        <f t="shared" si="13"/>
        <v>349010.92</v>
      </c>
    </row>
    <row r="81" spans="1:6" ht="18" customHeight="1" x14ac:dyDescent="0.2">
      <c r="A81" s="34" t="s">
        <v>324</v>
      </c>
      <c r="B81" s="35" t="s">
        <v>335</v>
      </c>
      <c r="C81" s="18"/>
      <c r="D81" s="18">
        <v>141863.14000000001</v>
      </c>
      <c r="E81" s="18"/>
      <c r="F81" s="18">
        <f t="shared" si="13"/>
        <v>141863.14000000001</v>
      </c>
    </row>
    <row r="82" spans="1:6" ht="18" customHeight="1" x14ac:dyDescent="0.2">
      <c r="A82" s="34" t="s">
        <v>325</v>
      </c>
      <c r="B82" s="35" t="s">
        <v>336</v>
      </c>
      <c r="C82" s="18"/>
      <c r="D82" s="18">
        <v>1612.44</v>
      </c>
      <c r="E82" s="18"/>
      <c r="F82" s="18">
        <f t="shared" si="13"/>
        <v>1612.44</v>
      </c>
    </row>
    <row r="83" spans="1:6" ht="18" customHeight="1" x14ac:dyDescent="0.2">
      <c r="A83" s="34" t="s">
        <v>305</v>
      </c>
      <c r="B83" s="35" t="s">
        <v>337</v>
      </c>
      <c r="C83" s="18"/>
      <c r="D83" s="18">
        <f>271164-E83</f>
        <v>213821.34</v>
      </c>
      <c r="E83" s="18">
        <v>57342.66</v>
      </c>
      <c r="F83" s="18">
        <f t="shared" si="13"/>
        <v>271164</v>
      </c>
    </row>
    <row r="84" spans="1:6" ht="18" customHeight="1" x14ac:dyDescent="0.2">
      <c r="A84" s="34" t="s">
        <v>326</v>
      </c>
      <c r="B84" s="35" t="s">
        <v>338</v>
      </c>
      <c r="C84" s="18"/>
      <c r="D84" s="18">
        <v>85318.720000000001</v>
      </c>
      <c r="E84" s="18"/>
      <c r="F84" s="18">
        <f t="shared" si="13"/>
        <v>85318.720000000001</v>
      </c>
    </row>
    <row r="85" spans="1:6" ht="18" customHeight="1" x14ac:dyDescent="0.2">
      <c r="A85" s="34" t="s">
        <v>327</v>
      </c>
      <c r="B85" s="35" t="s">
        <v>339</v>
      </c>
      <c r="C85" s="18"/>
      <c r="D85" s="18">
        <v>1368890.04</v>
      </c>
      <c r="E85" s="18"/>
      <c r="F85" s="18">
        <f t="shared" si="13"/>
        <v>1368890.04</v>
      </c>
    </row>
    <row r="86" spans="1:6" ht="18" customHeight="1" x14ac:dyDescent="0.2">
      <c r="A86" s="34" t="s">
        <v>328</v>
      </c>
      <c r="B86" s="36" t="s">
        <v>340</v>
      </c>
      <c r="C86" s="18"/>
      <c r="D86" s="18">
        <v>23989.99</v>
      </c>
      <c r="E86" s="18"/>
      <c r="F86" s="18">
        <f t="shared" si="13"/>
        <v>23989.99</v>
      </c>
    </row>
    <row r="87" spans="1:6" ht="18" customHeight="1" x14ac:dyDescent="0.2">
      <c r="A87" s="34" t="s">
        <v>329</v>
      </c>
      <c r="B87" s="36" t="s">
        <v>341</v>
      </c>
      <c r="C87" s="18"/>
      <c r="D87" s="18">
        <v>594162.4</v>
      </c>
      <c r="E87" s="18"/>
      <c r="F87" s="18">
        <f>+C87+D87+E87</f>
        <v>594162.4</v>
      </c>
    </row>
    <row r="88" spans="1:6" ht="18" customHeight="1" x14ac:dyDescent="0.2">
      <c r="A88" s="34" t="s">
        <v>330</v>
      </c>
      <c r="B88" s="36" t="s">
        <v>331</v>
      </c>
      <c r="C88" s="18"/>
      <c r="D88" s="18"/>
      <c r="E88" s="18"/>
      <c r="F88" s="18">
        <f t="shared" si="13"/>
        <v>0</v>
      </c>
    </row>
    <row r="89" spans="1:6" ht="16.5" x14ac:dyDescent="0.3">
      <c r="A89" s="20" t="s">
        <v>123</v>
      </c>
      <c r="B89" s="2" t="s">
        <v>16</v>
      </c>
      <c r="C89" s="21">
        <f>SUM(C90:C101)</f>
        <v>5333333</v>
      </c>
      <c r="D89" s="21">
        <f>SUM(D90:D101)</f>
        <v>909310.30999999994</v>
      </c>
      <c r="E89" s="21">
        <f>SUM(E90:E101)</f>
        <v>308654.88</v>
      </c>
      <c r="F89" s="21">
        <f>SUM(F90:F101)</f>
        <v>6551298.1899999995</v>
      </c>
    </row>
    <row r="90" spans="1:6" x14ac:dyDescent="0.2">
      <c r="A90" s="6" t="s">
        <v>124</v>
      </c>
      <c r="B90" s="5" t="s">
        <v>17</v>
      </c>
      <c r="C90" s="18"/>
      <c r="D90" s="18">
        <v>49560</v>
      </c>
      <c r="E90" s="18"/>
      <c r="F90" s="18">
        <f>SUM(C90:E90)</f>
        <v>49560</v>
      </c>
    </row>
    <row r="91" spans="1:6" x14ac:dyDescent="0.2">
      <c r="A91" s="6" t="s">
        <v>257</v>
      </c>
      <c r="B91" s="5" t="s">
        <v>258</v>
      </c>
      <c r="C91" s="18"/>
      <c r="D91" s="18">
        <v>251400</v>
      </c>
      <c r="E91" s="18"/>
      <c r="F91" s="18">
        <f t="shared" ref="F91:F101" si="14">SUM(C91:E91)</f>
        <v>251400</v>
      </c>
    </row>
    <row r="92" spans="1:6" x14ac:dyDescent="0.2">
      <c r="A92" s="6" t="s">
        <v>125</v>
      </c>
      <c r="B92" s="5" t="s">
        <v>130</v>
      </c>
      <c r="C92" s="18"/>
      <c r="D92" s="18">
        <v>123900</v>
      </c>
      <c r="E92" s="18"/>
      <c r="F92" s="18">
        <f t="shared" si="14"/>
        <v>123900</v>
      </c>
    </row>
    <row r="93" spans="1:6" x14ac:dyDescent="0.2">
      <c r="A93" s="6" t="s">
        <v>342</v>
      </c>
      <c r="B93" s="5" t="s">
        <v>343</v>
      </c>
      <c r="C93" s="18"/>
      <c r="D93" s="18">
        <v>2380</v>
      </c>
      <c r="E93" s="18"/>
      <c r="F93" s="18">
        <f t="shared" si="14"/>
        <v>2380</v>
      </c>
    </row>
    <row r="94" spans="1:6" x14ac:dyDescent="0.2">
      <c r="A94" s="6" t="s">
        <v>126</v>
      </c>
      <c r="B94" s="5" t="s">
        <v>131</v>
      </c>
      <c r="C94" s="18"/>
      <c r="D94" s="18">
        <f>64754.88-E94</f>
        <v>56110</v>
      </c>
      <c r="E94" s="18">
        <v>8644.8799999999992</v>
      </c>
      <c r="F94" s="18">
        <f t="shared" si="14"/>
        <v>64754.879999999997</v>
      </c>
    </row>
    <row r="95" spans="1:6" x14ac:dyDescent="0.2">
      <c r="A95" s="6" t="s">
        <v>127</v>
      </c>
      <c r="B95" s="5" t="s">
        <v>132</v>
      </c>
      <c r="C95" s="18"/>
      <c r="D95" s="18"/>
      <c r="E95" s="18">
        <v>300010</v>
      </c>
      <c r="F95" s="18">
        <f t="shared" si="14"/>
        <v>300010</v>
      </c>
    </row>
    <row r="96" spans="1:6" x14ac:dyDescent="0.2">
      <c r="A96" s="6" t="s">
        <v>128</v>
      </c>
      <c r="B96" s="5" t="s">
        <v>129</v>
      </c>
      <c r="C96" s="18"/>
      <c r="D96" s="18"/>
      <c r="E96" s="18"/>
      <c r="F96" s="18">
        <f t="shared" si="14"/>
        <v>0</v>
      </c>
    </row>
    <row r="97" spans="1:6" x14ac:dyDescent="0.2">
      <c r="A97" s="6" t="s">
        <v>344</v>
      </c>
      <c r="B97" s="5" t="s">
        <v>345</v>
      </c>
      <c r="C97" s="18"/>
      <c r="D97" s="18">
        <v>9000</v>
      </c>
      <c r="E97" s="18"/>
      <c r="F97" s="18">
        <f t="shared" si="14"/>
        <v>9000</v>
      </c>
    </row>
    <row r="98" spans="1:6" x14ac:dyDescent="0.2">
      <c r="A98" s="6" t="s">
        <v>133</v>
      </c>
      <c r="B98" s="5" t="s">
        <v>18</v>
      </c>
      <c r="C98" s="18">
        <v>5333333</v>
      </c>
      <c r="D98" s="18"/>
      <c r="E98" s="18"/>
      <c r="F98" s="18">
        <f t="shared" si="14"/>
        <v>5333333</v>
      </c>
    </row>
    <row r="99" spans="1:6" x14ac:dyDescent="0.2">
      <c r="A99" s="6" t="s">
        <v>297</v>
      </c>
      <c r="B99" s="5" t="s">
        <v>298</v>
      </c>
      <c r="C99" s="18"/>
      <c r="D99" s="18">
        <v>228500</v>
      </c>
      <c r="E99" s="18"/>
      <c r="F99" s="18">
        <f t="shared" si="14"/>
        <v>228500</v>
      </c>
    </row>
    <row r="100" spans="1:6" x14ac:dyDescent="0.2">
      <c r="A100" s="6" t="s">
        <v>346</v>
      </c>
      <c r="B100" s="5" t="s">
        <v>347</v>
      </c>
      <c r="C100" s="18"/>
      <c r="D100" s="18">
        <v>81554.600000000006</v>
      </c>
      <c r="E100" s="18"/>
      <c r="F100" s="18">
        <f t="shared" si="14"/>
        <v>81554.600000000006</v>
      </c>
    </row>
    <row r="101" spans="1:6" x14ac:dyDescent="0.2">
      <c r="A101" s="6" t="s">
        <v>348</v>
      </c>
      <c r="B101" s="5" t="s">
        <v>349</v>
      </c>
      <c r="C101" s="18"/>
      <c r="D101" s="18">
        <v>106905.71</v>
      </c>
      <c r="E101" s="18"/>
      <c r="F101" s="18">
        <f t="shared" si="14"/>
        <v>106905.71</v>
      </c>
    </row>
    <row r="102" spans="1:6" ht="16.5" x14ac:dyDescent="0.3">
      <c r="A102" s="20" t="s">
        <v>136</v>
      </c>
      <c r="B102" s="2" t="s">
        <v>137</v>
      </c>
      <c r="C102" s="21">
        <f>SUM(C103:C105)</f>
        <v>0</v>
      </c>
      <c r="D102" s="21">
        <f>SUM(D103:D105)</f>
        <v>67520</v>
      </c>
      <c r="E102" s="21">
        <f>SUM(E103:E105)</f>
        <v>0</v>
      </c>
      <c r="F102" s="21">
        <f>SUM(F103:F105)</f>
        <v>67520</v>
      </c>
    </row>
    <row r="103" spans="1:6" x14ac:dyDescent="0.2">
      <c r="A103" s="6" t="s">
        <v>134</v>
      </c>
      <c r="B103" s="5" t="s">
        <v>139</v>
      </c>
      <c r="C103" s="18"/>
      <c r="D103" s="18">
        <v>67520</v>
      </c>
      <c r="E103" s="18"/>
      <c r="F103" s="18">
        <f t="shared" ref="F103:F134" si="15">+C103+D103+E103</f>
        <v>67520</v>
      </c>
    </row>
    <row r="104" spans="1:6" x14ac:dyDescent="0.2">
      <c r="A104" s="6" t="s">
        <v>135</v>
      </c>
      <c r="B104" s="5" t="s">
        <v>140</v>
      </c>
      <c r="C104" s="18"/>
      <c r="D104" s="18"/>
      <c r="E104" s="18"/>
      <c r="F104" s="18">
        <f t="shared" si="15"/>
        <v>0</v>
      </c>
    </row>
    <row r="105" spans="1:6" ht="13.5" thickBot="1" x14ac:dyDescent="0.25">
      <c r="A105" s="6" t="s">
        <v>138</v>
      </c>
      <c r="B105" s="5" t="s">
        <v>141</v>
      </c>
      <c r="C105" s="18"/>
      <c r="D105" s="18"/>
      <c r="E105" s="18"/>
      <c r="F105" s="18">
        <f t="shared" si="15"/>
        <v>0</v>
      </c>
    </row>
    <row r="106" spans="1:6" ht="16.5" thickBot="1" x14ac:dyDescent="0.3">
      <c r="A106" s="14">
        <v>2.2999999999999998</v>
      </c>
      <c r="B106" s="8" t="s">
        <v>19</v>
      </c>
      <c r="C106" s="15">
        <f>+C107+C114+C118+C125+C128+C135+C149+C159</f>
        <v>580000</v>
      </c>
      <c r="D106" s="15">
        <f>+D107+D114+D118+D125+D128+D135+D149+D159</f>
        <v>9190244.2800000012</v>
      </c>
      <c r="E106" s="15">
        <f>+E107+E114+E118+E125+E128+E135+E149+E159</f>
        <v>2668061.66</v>
      </c>
      <c r="F106" s="15">
        <f>+F107+F114+F118+F125+F128+F135+F149+F159</f>
        <v>12438305.940000001</v>
      </c>
    </row>
    <row r="107" spans="1:6" ht="16.5" x14ac:dyDescent="0.3">
      <c r="A107" s="20" t="s">
        <v>142</v>
      </c>
      <c r="B107" s="2" t="s">
        <v>20</v>
      </c>
      <c r="C107" s="21">
        <f>SUM(C108:C113)</f>
        <v>0</v>
      </c>
      <c r="D107" s="21">
        <f>SUM(D108:D113)</f>
        <v>537022.62</v>
      </c>
      <c r="E107" s="21">
        <f>SUM(E108:E113)</f>
        <v>624281.49</v>
      </c>
      <c r="F107" s="21">
        <f>SUM(F108:F113)</f>
        <v>1161304.1100000001</v>
      </c>
    </row>
    <row r="108" spans="1:6" x14ac:dyDescent="0.2">
      <c r="A108" s="6" t="s">
        <v>143</v>
      </c>
      <c r="B108" s="5" t="s">
        <v>21</v>
      </c>
      <c r="C108" s="18"/>
      <c r="D108" s="18">
        <f>1070634.5-E108</f>
        <v>446353.01</v>
      </c>
      <c r="E108" s="18">
        <f>7758.93+11045+1850+2636.5+18704.8+3801.6+388487.86+85432+18000+86564.8</f>
        <v>624281.49</v>
      </c>
      <c r="F108" s="18">
        <f>SUM(C108:E108)</f>
        <v>1070634.5</v>
      </c>
    </row>
    <row r="109" spans="1:6" x14ac:dyDescent="0.2">
      <c r="A109" s="6" t="s">
        <v>278</v>
      </c>
      <c r="B109" s="5" t="s">
        <v>22</v>
      </c>
      <c r="C109" s="18"/>
      <c r="D109" s="18"/>
      <c r="E109" s="18"/>
      <c r="F109" s="18">
        <f t="shared" ref="F109:F113" si="16">SUM(C109:E109)</f>
        <v>0</v>
      </c>
    </row>
    <row r="110" spans="1:6" x14ac:dyDescent="0.2">
      <c r="A110" s="6" t="s">
        <v>144</v>
      </c>
      <c r="B110" s="5" t="s">
        <v>23</v>
      </c>
      <c r="C110" s="18"/>
      <c r="D110" s="18"/>
      <c r="E110" s="18"/>
      <c r="F110" s="18">
        <f t="shared" si="16"/>
        <v>0</v>
      </c>
    </row>
    <row r="111" spans="1:6" x14ac:dyDescent="0.2">
      <c r="A111" s="6" t="s">
        <v>350</v>
      </c>
      <c r="B111" s="5" t="s">
        <v>352</v>
      </c>
      <c r="C111" s="18"/>
      <c r="D111" s="18">
        <v>49000</v>
      </c>
      <c r="E111" s="18"/>
      <c r="F111" s="18">
        <f t="shared" si="16"/>
        <v>49000</v>
      </c>
    </row>
    <row r="112" spans="1:6" x14ac:dyDescent="0.2">
      <c r="A112" s="6" t="s">
        <v>351</v>
      </c>
      <c r="B112" s="5" t="s">
        <v>353</v>
      </c>
      <c r="C112" s="18"/>
      <c r="D112" s="18">
        <v>17692.009999999998</v>
      </c>
      <c r="E112" s="18"/>
      <c r="F112" s="18">
        <f t="shared" si="16"/>
        <v>17692.009999999998</v>
      </c>
    </row>
    <row r="113" spans="1:6" x14ac:dyDescent="0.2">
      <c r="A113" s="6" t="s">
        <v>145</v>
      </c>
      <c r="B113" s="5" t="s">
        <v>279</v>
      </c>
      <c r="C113" s="18"/>
      <c r="D113" s="18">
        <v>23977.599999999999</v>
      </c>
      <c r="E113" s="18"/>
      <c r="F113" s="18">
        <f t="shared" si="16"/>
        <v>23977.599999999999</v>
      </c>
    </row>
    <row r="114" spans="1:6" ht="16.5" x14ac:dyDescent="0.3">
      <c r="A114" s="20" t="s">
        <v>146</v>
      </c>
      <c r="B114" s="2" t="s">
        <v>24</v>
      </c>
      <c r="C114" s="21">
        <f>SUM(C115:C117)</f>
        <v>0</v>
      </c>
      <c r="D114" s="21">
        <f>SUM(D115:D117)</f>
        <v>310790.01</v>
      </c>
      <c r="E114" s="21">
        <f>SUM(E115:E117)</f>
        <v>3601.22</v>
      </c>
      <c r="F114" s="21">
        <f>SUM(F115:F117)</f>
        <v>314391.23</v>
      </c>
    </row>
    <row r="115" spans="1:6" x14ac:dyDescent="0.2">
      <c r="A115" s="6" t="s">
        <v>147</v>
      </c>
      <c r="B115" s="5" t="s">
        <v>25</v>
      </c>
      <c r="C115" s="18"/>
      <c r="D115" s="18">
        <f>104340.23-E115</f>
        <v>100739.01</v>
      </c>
      <c r="E115" s="18">
        <v>3601.22</v>
      </c>
      <c r="F115" s="18">
        <f>+C115+D115+E115</f>
        <v>104340.23</v>
      </c>
    </row>
    <row r="116" spans="1:6" x14ac:dyDescent="0.2">
      <c r="A116" s="6" t="s">
        <v>148</v>
      </c>
      <c r="B116" s="5" t="s">
        <v>26</v>
      </c>
      <c r="C116" s="18"/>
      <c r="D116" s="18">
        <v>57465.2</v>
      </c>
      <c r="E116" s="18"/>
      <c r="F116" s="18">
        <f t="shared" si="15"/>
        <v>57465.2</v>
      </c>
    </row>
    <row r="117" spans="1:6" x14ac:dyDescent="0.2">
      <c r="A117" s="6" t="s">
        <v>149</v>
      </c>
      <c r="B117" s="5" t="s">
        <v>27</v>
      </c>
      <c r="C117" s="18"/>
      <c r="D117" s="18">
        <v>152585.79999999999</v>
      </c>
      <c r="E117" s="18"/>
      <c r="F117" s="18">
        <f>+C117+D117+E117</f>
        <v>152585.79999999999</v>
      </c>
    </row>
    <row r="118" spans="1:6" ht="16.5" x14ac:dyDescent="0.3">
      <c r="A118" s="20" t="s">
        <v>150</v>
      </c>
      <c r="B118" s="2" t="s">
        <v>28</v>
      </c>
      <c r="C118" s="21">
        <f>SUM(C119:C124)</f>
        <v>0</v>
      </c>
      <c r="D118" s="21">
        <f>SUM(D119:D124)</f>
        <v>651608.62999999989</v>
      </c>
      <c r="E118" s="21">
        <f>SUM(E119:E124)</f>
        <v>808878.72</v>
      </c>
      <c r="F118" s="21">
        <f>SUM(F119:F124)</f>
        <v>1460487.35</v>
      </c>
    </row>
    <row r="119" spans="1:6" x14ac:dyDescent="0.2">
      <c r="A119" s="6" t="s">
        <v>151</v>
      </c>
      <c r="B119" s="5" t="s">
        <v>29</v>
      </c>
      <c r="C119" s="18"/>
      <c r="D119" s="18">
        <f>260447.19-E119</f>
        <v>257321.19</v>
      </c>
      <c r="E119" s="18">
        <v>3126</v>
      </c>
      <c r="F119" s="18">
        <f t="shared" si="15"/>
        <v>260447.19</v>
      </c>
    </row>
    <row r="120" spans="1:6" x14ac:dyDescent="0.2">
      <c r="A120" s="6" t="s">
        <v>152</v>
      </c>
      <c r="B120" s="5" t="s">
        <v>30</v>
      </c>
      <c r="C120" s="18"/>
      <c r="D120" s="18"/>
      <c r="E120" s="18">
        <f>4897+885+5426.72+21594</f>
        <v>32802.720000000001</v>
      </c>
      <c r="F120" s="18">
        <f t="shared" si="15"/>
        <v>32802.720000000001</v>
      </c>
    </row>
    <row r="121" spans="1:6" x14ac:dyDescent="0.2">
      <c r="A121" s="6" t="s">
        <v>153</v>
      </c>
      <c r="B121" s="5" t="s">
        <v>31</v>
      </c>
      <c r="C121" s="18"/>
      <c r="D121" s="18">
        <f>25745.24-E121</f>
        <v>18599.240000000002</v>
      </c>
      <c r="E121" s="18">
        <f>4746+2400</f>
        <v>7146</v>
      </c>
      <c r="F121" s="18">
        <f t="shared" si="15"/>
        <v>25745.24</v>
      </c>
    </row>
    <row r="122" spans="1:6" x14ac:dyDescent="0.2">
      <c r="A122" s="6" t="s">
        <v>154</v>
      </c>
      <c r="B122" s="5" t="s">
        <v>32</v>
      </c>
      <c r="C122" s="18"/>
      <c r="D122" s="18">
        <f>1141327.2-E122</f>
        <v>375523.19999999995</v>
      </c>
      <c r="E122" s="18">
        <v>765804</v>
      </c>
      <c r="F122" s="18">
        <f t="shared" si="15"/>
        <v>1141327.2</v>
      </c>
    </row>
    <row r="123" spans="1:6" x14ac:dyDescent="0.2">
      <c r="A123" s="6" t="s">
        <v>155</v>
      </c>
      <c r="B123" s="5" t="s">
        <v>33</v>
      </c>
      <c r="C123" s="18"/>
      <c r="D123" s="18"/>
      <c r="E123" s="18"/>
      <c r="F123" s="18">
        <f t="shared" si="15"/>
        <v>0</v>
      </c>
    </row>
    <row r="124" spans="1:6" x14ac:dyDescent="0.2">
      <c r="A124" s="19" t="s">
        <v>354</v>
      </c>
      <c r="B124" s="5" t="s">
        <v>355</v>
      </c>
      <c r="C124" s="18"/>
      <c r="D124" s="18">
        <v>165</v>
      </c>
      <c r="E124" s="18"/>
      <c r="F124" s="18">
        <f t="shared" si="15"/>
        <v>165</v>
      </c>
    </row>
    <row r="125" spans="1:6" ht="16.5" x14ac:dyDescent="0.3">
      <c r="A125" s="20" t="s">
        <v>156</v>
      </c>
      <c r="B125" s="2" t="s">
        <v>157</v>
      </c>
      <c r="C125" s="21">
        <f>SUM(C126:C127)</f>
        <v>0</v>
      </c>
      <c r="D125" s="21">
        <f t="shared" ref="D125:E125" si="17">SUM(D126:D127)</f>
        <v>143519.4</v>
      </c>
      <c r="E125" s="21">
        <f t="shared" si="17"/>
        <v>0</v>
      </c>
      <c r="F125" s="21">
        <f>SUM(F126:F127)</f>
        <v>143519.4</v>
      </c>
    </row>
    <row r="126" spans="1:6" x14ac:dyDescent="0.2">
      <c r="A126" s="6" t="s">
        <v>158</v>
      </c>
      <c r="B126" s="5" t="s">
        <v>159</v>
      </c>
      <c r="C126" s="18"/>
      <c r="D126" s="18">
        <v>143519.4</v>
      </c>
      <c r="E126" s="18"/>
      <c r="F126" s="18">
        <f t="shared" si="15"/>
        <v>143519.4</v>
      </c>
    </row>
    <row r="127" spans="1:6" x14ac:dyDescent="0.2">
      <c r="A127" s="6"/>
      <c r="B127" s="5"/>
      <c r="C127" s="18"/>
      <c r="D127" s="18"/>
      <c r="E127" s="18"/>
      <c r="F127" s="18">
        <f t="shared" si="15"/>
        <v>0</v>
      </c>
    </row>
    <row r="128" spans="1:6" ht="16.5" x14ac:dyDescent="0.3">
      <c r="A128" s="20" t="s">
        <v>160</v>
      </c>
      <c r="B128" s="2" t="s">
        <v>34</v>
      </c>
      <c r="C128" s="21">
        <f>SUM(C129:C134)</f>
        <v>0</v>
      </c>
      <c r="D128" s="21">
        <f>SUM(D129:D133)</f>
        <v>424745.83</v>
      </c>
      <c r="E128" s="21">
        <f>SUM(E129:E133)</f>
        <v>174570.78</v>
      </c>
      <c r="F128" s="21">
        <f>SUM(F129:F134)</f>
        <v>599316.6100000001</v>
      </c>
    </row>
    <row r="129" spans="1:6" x14ac:dyDescent="0.2">
      <c r="A129" s="6" t="s">
        <v>161</v>
      </c>
      <c r="B129" s="5" t="s">
        <v>35</v>
      </c>
      <c r="C129" s="18"/>
      <c r="D129" s="18"/>
      <c r="E129" s="18"/>
      <c r="F129" s="18">
        <f>SUM(C129:E129)</f>
        <v>0</v>
      </c>
    </row>
    <row r="130" spans="1:6" x14ac:dyDescent="0.2">
      <c r="A130" s="6" t="s">
        <v>162</v>
      </c>
      <c r="B130" s="5" t="s">
        <v>36</v>
      </c>
      <c r="C130" s="18"/>
      <c r="D130" s="18"/>
      <c r="E130" s="18"/>
      <c r="F130" s="18">
        <f t="shared" ref="F130:F132" si="18">SUM(C130:E130)</f>
        <v>0</v>
      </c>
    </row>
    <row r="131" spans="1:6" x14ac:dyDescent="0.2">
      <c r="A131" s="6" t="s">
        <v>163</v>
      </c>
      <c r="B131" s="5" t="s">
        <v>37</v>
      </c>
      <c r="C131" s="18"/>
      <c r="D131" s="18">
        <f>144503.05-E131</f>
        <v>84883.039999999979</v>
      </c>
      <c r="E131" s="18">
        <f>28700.02+29999.99+920</f>
        <v>59620.01</v>
      </c>
      <c r="F131" s="18">
        <f t="shared" si="18"/>
        <v>144503.04999999999</v>
      </c>
    </row>
    <row r="132" spans="1:6" x14ac:dyDescent="0.2">
      <c r="A132" s="6" t="s">
        <v>164</v>
      </c>
      <c r="B132" s="5" t="s">
        <v>38</v>
      </c>
      <c r="C132" s="18"/>
      <c r="D132" s="18"/>
      <c r="E132" s="18"/>
      <c r="F132" s="18">
        <f t="shared" si="18"/>
        <v>0</v>
      </c>
    </row>
    <row r="133" spans="1:6" x14ac:dyDescent="0.2">
      <c r="A133" s="6" t="s">
        <v>165</v>
      </c>
      <c r="B133" s="5" t="s">
        <v>39</v>
      </c>
      <c r="C133" s="18"/>
      <c r="D133" s="18">
        <f>454813.56-E133</f>
        <v>339862.79000000004</v>
      </c>
      <c r="E133" s="18">
        <f>405.75+3775+18054+2950+699.5+788.12+8976.5+57471.9+10030+11800</f>
        <v>114950.76999999999</v>
      </c>
      <c r="F133" s="18">
        <f>SUM(C133:E133)</f>
        <v>454813.56000000006</v>
      </c>
    </row>
    <row r="134" spans="1:6" x14ac:dyDescent="0.2">
      <c r="A134" s="19"/>
      <c r="B134" s="5"/>
      <c r="C134" s="18"/>
      <c r="D134" s="18"/>
      <c r="E134" s="18"/>
      <c r="F134" s="18">
        <f t="shared" si="15"/>
        <v>0</v>
      </c>
    </row>
    <row r="135" spans="1:6" ht="16.5" x14ac:dyDescent="0.3">
      <c r="A135" s="20" t="s">
        <v>166</v>
      </c>
      <c r="B135" s="2" t="s">
        <v>40</v>
      </c>
      <c r="C135" s="21">
        <f>SUM(C136:C148)</f>
        <v>0</v>
      </c>
      <c r="D135" s="21">
        <f t="shared" ref="D135:F135" si="19">SUM(D136:D148)</f>
        <v>217031.38999999998</v>
      </c>
      <c r="E135" s="21">
        <f t="shared" si="19"/>
        <v>165820.51</v>
      </c>
      <c r="F135" s="21">
        <f t="shared" si="19"/>
        <v>382851.89999999997</v>
      </c>
    </row>
    <row r="136" spans="1:6" x14ac:dyDescent="0.2">
      <c r="A136" s="6" t="s">
        <v>167</v>
      </c>
      <c r="B136" s="5" t="s">
        <v>173</v>
      </c>
      <c r="C136" s="18"/>
      <c r="D136" s="18">
        <v>275</v>
      </c>
      <c r="E136" s="18"/>
      <c r="F136" s="18">
        <f>SUM(C136:E136)</f>
        <v>275</v>
      </c>
    </row>
    <row r="137" spans="1:6" x14ac:dyDescent="0.2">
      <c r="A137" s="6" t="s">
        <v>168</v>
      </c>
      <c r="B137" s="5" t="s">
        <v>174</v>
      </c>
      <c r="C137" s="18"/>
      <c r="D137" s="18">
        <v>64.900000000000006</v>
      </c>
      <c r="E137" s="18"/>
      <c r="F137" s="18">
        <f t="shared" ref="F137:F148" si="20">SUM(C137:E137)</f>
        <v>64.900000000000006</v>
      </c>
    </row>
    <row r="138" spans="1:6" x14ac:dyDescent="0.2">
      <c r="A138" s="6" t="s">
        <v>169</v>
      </c>
      <c r="B138" s="5" t="s">
        <v>175</v>
      </c>
      <c r="C138" s="18"/>
      <c r="D138" s="18">
        <v>194.7</v>
      </c>
      <c r="E138" s="18"/>
      <c r="F138" s="18">
        <f t="shared" si="20"/>
        <v>194.7</v>
      </c>
    </row>
    <row r="139" spans="1:6" x14ac:dyDescent="0.2">
      <c r="A139" s="6" t="s">
        <v>170</v>
      </c>
      <c r="B139" s="5" t="s">
        <v>176</v>
      </c>
      <c r="C139" s="18"/>
      <c r="D139" s="18">
        <v>1111.2</v>
      </c>
      <c r="E139" s="18"/>
      <c r="F139" s="18">
        <f t="shared" si="20"/>
        <v>1111.2</v>
      </c>
    </row>
    <row r="140" spans="1:6" x14ac:dyDescent="0.2">
      <c r="A140" s="6" t="s">
        <v>171</v>
      </c>
      <c r="B140" s="5" t="s">
        <v>177</v>
      </c>
      <c r="C140" s="18"/>
      <c r="D140" s="18"/>
      <c r="E140" s="18"/>
      <c r="F140" s="18">
        <f t="shared" si="20"/>
        <v>0</v>
      </c>
    </row>
    <row r="141" spans="1:6" x14ac:dyDescent="0.2">
      <c r="A141" s="6" t="s">
        <v>172</v>
      </c>
      <c r="B141" s="5" t="s">
        <v>178</v>
      </c>
      <c r="C141" s="18"/>
      <c r="D141" s="18">
        <v>20154.400000000001</v>
      </c>
      <c r="E141" s="18"/>
      <c r="F141" s="18">
        <f t="shared" si="20"/>
        <v>20154.400000000001</v>
      </c>
    </row>
    <row r="142" spans="1:6" x14ac:dyDescent="0.2">
      <c r="A142" s="6" t="s">
        <v>179</v>
      </c>
      <c r="B142" s="5" t="s">
        <v>184</v>
      </c>
      <c r="C142" s="18"/>
      <c r="D142" s="18"/>
      <c r="E142" s="18">
        <v>6041.6</v>
      </c>
      <c r="F142" s="18">
        <f t="shared" si="20"/>
        <v>6041.6</v>
      </c>
    </row>
    <row r="143" spans="1:6" x14ac:dyDescent="0.2">
      <c r="A143" s="6" t="s">
        <v>356</v>
      </c>
      <c r="B143" s="5" t="s">
        <v>357</v>
      </c>
      <c r="C143" s="18"/>
      <c r="D143" s="18">
        <v>6814.5</v>
      </c>
      <c r="E143" s="18"/>
      <c r="F143" s="18">
        <f t="shared" si="20"/>
        <v>6814.5</v>
      </c>
    </row>
    <row r="144" spans="1:6" x14ac:dyDescent="0.2">
      <c r="A144" s="6" t="s">
        <v>180</v>
      </c>
      <c r="B144" s="5" t="s">
        <v>185</v>
      </c>
      <c r="C144" s="18"/>
      <c r="D144" s="18">
        <f>348145.6-E144</f>
        <v>188366.68999999997</v>
      </c>
      <c r="E144" s="18">
        <f>9517.71+150261.2</f>
        <v>159778.91</v>
      </c>
      <c r="F144" s="18">
        <f t="shared" si="20"/>
        <v>348145.6</v>
      </c>
    </row>
    <row r="145" spans="1:6" x14ac:dyDescent="0.2">
      <c r="A145" s="6" t="s">
        <v>181</v>
      </c>
      <c r="B145" s="5" t="s">
        <v>186</v>
      </c>
      <c r="C145" s="18"/>
      <c r="D145" s="18"/>
      <c r="E145" s="18"/>
      <c r="F145" s="18">
        <f t="shared" si="20"/>
        <v>0</v>
      </c>
    </row>
    <row r="146" spans="1:6" x14ac:dyDescent="0.2">
      <c r="A146" s="6" t="s">
        <v>182</v>
      </c>
      <c r="B146" s="5" t="s">
        <v>187</v>
      </c>
      <c r="C146" s="18"/>
      <c r="D146" s="18"/>
      <c r="E146" s="18"/>
      <c r="F146" s="18">
        <f t="shared" si="20"/>
        <v>0</v>
      </c>
    </row>
    <row r="147" spans="1:6" x14ac:dyDescent="0.2">
      <c r="A147" s="6" t="s">
        <v>183</v>
      </c>
      <c r="B147" s="5" t="s">
        <v>188</v>
      </c>
      <c r="C147" s="18"/>
      <c r="D147" s="18">
        <v>50</v>
      </c>
      <c r="E147" s="18"/>
      <c r="F147" s="18">
        <f t="shared" si="20"/>
        <v>50</v>
      </c>
    </row>
    <row r="148" spans="1:6" x14ac:dyDescent="0.2">
      <c r="A148" s="19"/>
      <c r="B148" s="5"/>
      <c r="C148" s="18"/>
      <c r="D148" s="18"/>
      <c r="E148" s="18"/>
      <c r="F148" s="18">
        <f t="shared" si="20"/>
        <v>0</v>
      </c>
    </row>
    <row r="149" spans="1:6" ht="16.5" x14ac:dyDescent="0.3">
      <c r="A149" s="20" t="s">
        <v>189</v>
      </c>
      <c r="B149" s="2" t="s">
        <v>238</v>
      </c>
      <c r="C149" s="21">
        <f t="shared" ref="C149:D149" si="21">SUM(C150:C158)</f>
        <v>580000</v>
      </c>
      <c r="D149" s="21">
        <f t="shared" si="21"/>
        <v>1055133.45</v>
      </c>
      <c r="E149" s="21">
        <f>SUM(E150:E158)</f>
        <v>95160</v>
      </c>
      <c r="F149" s="21">
        <f>SUM(F150:F158)</f>
        <v>1730293.45</v>
      </c>
    </row>
    <row r="150" spans="1:6" x14ac:dyDescent="0.2">
      <c r="A150" s="6" t="s">
        <v>192</v>
      </c>
      <c r="B150" s="5" t="s">
        <v>194</v>
      </c>
      <c r="C150" s="18"/>
      <c r="D150" s="18">
        <v>295449.15000000002</v>
      </c>
      <c r="E150" s="18"/>
      <c r="F150" s="18">
        <f t="shared" ref="F150:F158" si="22">SUM(C150:E150)</f>
        <v>295449.15000000002</v>
      </c>
    </row>
    <row r="151" spans="1:6" x14ac:dyDescent="0.2">
      <c r="A151" s="6" t="s">
        <v>191</v>
      </c>
      <c r="B151" s="5" t="s">
        <v>195</v>
      </c>
      <c r="C151" s="18">
        <v>580000</v>
      </c>
      <c r="D151" s="18">
        <f>507014.05-E151</f>
        <v>454334.05</v>
      </c>
      <c r="E151" s="18">
        <f>32620+7500+10560+2000</f>
        <v>52680</v>
      </c>
      <c r="F151" s="18">
        <f t="shared" si="22"/>
        <v>1087014.05</v>
      </c>
    </row>
    <row r="152" spans="1:6" x14ac:dyDescent="0.2">
      <c r="A152" s="6" t="s">
        <v>358</v>
      </c>
      <c r="B152" s="5" t="s">
        <v>359</v>
      </c>
      <c r="C152" s="18"/>
      <c r="D152" s="18">
        <v>4375.3999999999996</v>
      </c>
      <c r="E152" s="18"/>
      <c r="F152" s="18">
        <f t="shared" si="22"/>
        <v>4375.3999999999996</v>
      </c>
    </row>
    <row r="153" spans="1:6" x14ac:dyDescent="0.2">
      <c r="A153" s="6" t="s">
        <v>190</v>
      </c>
      <c r="B153" s="5" t="s">
        <v>196</v>
      </c>
      <c r="C153" s="18"/>
      <c r="D153" s="18">
        <v>47918.02</v>
      </c>
      <c r="E153" s="18"/>
      <c r="F153" s="18">
        <f t="shared" si="22"/>
        <v>47918.02</v>
      </c>
    </row>
    <row r="154" spans="1:6" x14ac:dyDescent="0.2">
      <c r="A154" s="6" t="s">
        <v>193</v>
      </c>
      <c r="B154" s="5" t="s">
        <v>197</v>
      </c>
      <c r="C154" s="18"/>
      <c r="D154" s="18">
        <v>18495.02</v>
      </c>
      <c r="E154" s="18"/>
      <c r="F154" s="18">
        <f t="shared" si="22"/>
        <v>18495.02</v>
      </c>
    </row>
    <row r="155" spans="1:6" x14ac:dyDescent="0.2">
      <c r="A155" s="6" t="s">
        <v>294</v>
      </c>
      <c r="B155" s="5" t="s">
        <v>295</v>
      </c>
      <c r="C155" s="18"/>
      <c r="D155" s="18"/>
      <c r="E155" s="18">
        <f>21240+21240</f>
        <v>42480</v>
      </c>
      <c r="F155" s="18">
        <f t="shared" si="22"/>
        <v>42480</v>
      </c>
    </row>
    <row r="156" spans="1:6" x14ac:dyDescent="0.2">
      <c r="A156" s="6" t="s">
        <v>360</v>
      </c>
      <c r="B156" s="5" t="s">
        <v>361</v>
      </c>
      <c r="C156" s="18"/>
      <c r="D156" s="18">
        <v>1691.64</v>
      </c>
      <c r="E156" s="18"/>
      <c r="F156" s="18">
        <f t="shared" si="22"/>
        <v>1691.64</v>
      </c>
    </row>
    <row r="157" spans="1:6" x14ac:dyDescent="0.2">
      <c r="A157" s="6" t="s">
        <v>362</v>
      </c>
      <c r="B157" s="5" t="s">
        <v>363</v>
      </c>
      <c r="C157" s="18"/>
      <c r="D157" s="18">
        <v>134283.53</v>
      </c>
      <c r="E157" s="18"/>
      <c r="F157" s="18">
        <f t="shared" si="22"/>
        <v>134283.53</v>
      </c>
    </row>
    <row r="158" spans="1:6" x14ac:dyDescent="0.2">
      <c r="A158" s="6" t="s">
        <v>364</v>
      </c>
      <c r="B158" s="5" t="s">
        <v>365</v>
      </c>
      <c r="C158" s="18"/>
      <c r="D158" s="18">
        <v>98586.64</v>
      </c>
      <c r="E158" s="18"/>
      <c r="F158" s="18">
        <f t="shared" si="22"/>
        <v>98586.64</v>
      </c>
    </row>
    <row r="159" spans="1:6" ht="16.5" x14ac:dyDescent="0.3">
      <c r="A159" s="20" t="s">
        <v>198</v>
      </c>
      <c r="B159" s="2" t="s">
        <v>237</v>
      </c>
      <c r="C159" s="21">
        <f>SUM(C160:C167)</f>
        <v>0</v>
      </c>
      <c r="D159" s="21">
        <f>SUM(D160:D167)</f>
        <v>5850392.9500000002</v>
      </c>
      <c r="E159" s="21">
        <f>SUM(E160:E167)</f>
        <v>795748.94</v>
      </c>
      <c r="F159" s="21">
        <f>SUM(F160:F168)</f>
        <v>6646141.8900000006</v>
      </c>
    </row>
    <row r="160" spans="1:6" x14ac:dyDescent="0.2">
      <c r="A160" s="6" t="s">
        <v>199</v>
      </c>
      <c r="B160" s="5" t="s">
        <v>205</v>
      </c>
      <c r="C160" s="18"/>
      <c r="D160" s="18">
        <v>27437.8</v>
      </c>
      <c r="E160" s="18"/>
      <c r="F160" s="18">
        <f>+E160+D160</f>
        <v>27437.8</v>
      </c>
    </row>
    <row r="161" spans="1:6" x14ac:dyDescent="0.2">
      <c r="A161" s="6" t="s">
        <v>200</v>
      </c>
      <c r="B161" s="5" t="s">
        <v>206</v>
      </c>
      <c r="C161" s="18"/>
      <c r="D161" s="18">
        <f>5592913.08-E161</f>
        <v>5250505.7</v>
      </c>
      <c r="E161" s="18">
        <f>20600+54575+22362+12390+37407.5+28287+156090.88+10695</f>
        <v>342407.38</v>
      </c>
      <c r="F161" s="18">
        <f>SUM(C161:E161)</f>
        <v>5592913.0800000001</v>
      </c>
    </row>
    <row r="162" spans="1:6" x14ac:dyDescent="0.2">
      <c r="A162" s="6" t="s">
        <v>201</v>
      </c>
      <c r="B162" s="5" t="s">
        <v>207</v>
      </c>
      <c r="C162" s="18"/>
      <c r="D162" s="18">
        <v>23964.2</v>
      </c>
      <c r="E162" s="18"/>
      <c r="F162" s="18">
        <f t="shared" ref="F162:F167" si="23">SUM(C162:E162)</f>
        <v>23964.2</v>
      </c>
    </row>
    <row r="163" spans="1:6" x14ac:dyDescent="0.2">
      <c r="A163" s="6" t="s">
        <v>270</v>
      </c>
      <c r="B163" s="5" t="s">
        <v>271</v>
      </c>
      <c r="C163" s="18"/>
      <c r="D163" s="18">
        <v>7965</v>
      </c>
      <c r="E163" s="18"/>
      <c r="F163" s="18">
        <f t="shared" si="23"/>
        <v>7965</v>
      </c>
    </row>
    <row r="164" spans="1:6" x14ac:dyDescent="0.2">
      <c r="A164" s="6" t="s">
        <v>202</v>
      </c>
      <c r="B164" s="5" t="s">
        <v>208</v>
      </c>
      <c r="C164" s="18"/>
      <c r="D164" s="18">
        <v>157379.79</v>
      </c>
      <c r="E164" s="18"/>
      <c r="F164" s="18">
        <f t="shared" si="23"/>
        <v>157379.79</v>
      </c>
    </row>
    <row r="165" spans="1:6" x14ac:dyDescent="0.2">
      <c r="A165" s="6" t="s">
        <v>203</v>
      </c>
      <c r="B165" s="5" t="s">
        <v>41</v>
      </c>
      <c r="C165" s="18"/>
      <c r="D165" s="18">
        <f>491625.9-E165</f>
        <v>38284.340000000026</v>
      </c>
      <c r="E165" s="18">
        <f>119731.06+215232+32189.25+86189.25</f>
        <v>453341.56</v>
      </c>
      <c r="F165" s="18">
        <f t="shared" si="23"/>
        <v>491625.9</v>
      </c>
    </row>
    <row r="166" spans="1:6" x14ac:dyDescent="0.2">
      <c r="A166" s="6" t="s">
        <v>280</v>
      </c>
      <c r="B166" s="5" t="s">
        <v>281</v>
      </c>
      <c r="C166" s="18"/>
      <c r="D166" s="18">
        <v>197645.28</v>
      </c>
      <c r="E166" s="18"/>
      <c r="F166" s="18">
        <f t="shared" si="23"/>
        <v>197645.28</v>
      </c>
    </row>
    <row r="167" spans="1:6" x14ac:dyDescent="0.2">
      <c r="A167" s="6" t="s">
        <v>204</v>
      </c>
      <c r="B167" s="5" t="s">
        <v>209</v>
      </c>
      <c r="C167" s="18"/>
      <c r="D167" s="18">
        <v>147210.84</v>
      </c>
      <c r="E167" s="18"/>
      <c r="F167" s="18">
        <f t="shared" si="23"/>
        <v>147210.84</v>
      </c>
    </row>
    <row r="168" spans="1:6" ht="13.5" thickBot="1" x14ac:dyDescent="0.25">
      <c r="A168" s="6"/>
      <c r="B168" s="5"/>
      <c r="C168" s="18"/>
      <c r="D168" s="18"/>
      <c r="E168" s="18"/>
      <c r="F168" s="18">
        <f t="shared" ref="F168:F178" si="24">+C168+D168+E168</f>
        <v>0</v>
      </c>
    </row>
    <row r="169" spans="1:6" ht="16.5" thickBot="1" x14ac:dyDescent="0.3">
      <c r="A169" s="14">
        <v>2.4</v>
      </c>
      <c r="B169" s="8" t="s">
        <v>229</v>
      </c>
      <c r="C169" s="15">
        <f>C175+C170</f>
        <v>0</v>
      </c>
      <c r="D169" s="15">
        <f t="shared" ref="D169:F169" si="25">D175+D170</f>
        <v>216874.93</v>
      </c>
      <c r="E169" s="15">
        <f t="shared" si="25"/>
        <v>5320068.7300000004</v>
      </c>
      <c r="F169" s="15">
        <f t="shared" si="25"/>
        <v>5536943.6600000001</v>
      </c>
    </row>
    <row r="170" spans="1:6" ht="16.5" x14ac:dyDescent="0.3">
      <c r="A170" s="20" t="s">
        <v>259</v>
      </c>
      <c r="B170" s="2" t="s">
        <v>261</v>
      </c>
      <c r="C170" s="21">
        <f>SUM(C171:C174)</f>
        <v>0</v>
      </c>
      <c r="D170" s="21">
        <f>SUM(D171:D174)</f>
        <v>216874.93</v>
      </c>
      <c r="E170" s="21">
        <f>SUM(E171:E174)</f>
        <v>0</v>
      </c>
      <c r="F170" s="21">
        <f>SUM(F171:F174)</f>
        <v>216874.93</v>
      </c>
    </row>
    <row r="171" spans="1:6" s="29" customFormat="1" ht="16.5" x14ac:dyDescent="0.3">
      <c r="A171" s="37" t="s">
        <v>366</v>
      </c>
      <c r="B171" s="38" t="s">
        <v>367</v>
      </c>
      <c r="C171" s="39"/>
      <c r="D171" s="39">
        <v>14874.93</v>
      </c>
      <c r="E171" s="39"/>
      <c r="F171" s="18">
        <f t="shared" si="24"/>
        <v>14874.93</v>
      </c>
    </row>
    <row r="172" spans="1:6" x14ac:dyDescent="0.2">
      <c r="A172" s="6" t="s">
        <v>290</v>
      </c>
      <c r="B172" s="5" t="s">
        <v>291</v>
      </c>
      <c r="C172" s="18"/>
      <c r="D172" s="18">
        <v>95000</v>
      </c>
      <c r="E172" s="18"/>
      <c r="F172" s="18">
        <f t="shared" si="24"/>
        <v>95000</v>
      </c>
    </row>
    <row r="173" spans="1:6" x14ac:dyDescent="0.2">
      <c r="A173" s="6" t="s">
        <v>368</v>
      </c>
      <c r="B173" s="5" t="s">
        <v>369</v>
      </c>
      <c r="C173" s="18"/>
      <c r="D173" s="18">
        <v>7000</v>
      </c>
      <c r="E173" s="18"/>
      <c r="F173" s="18">
        <f t="shared" si="24"/>
        <v>7000</v>
      </c>
    </row>
    <row r="174" spans="1:6" x14ac:dyDescent="0.2">
      <c r="A174" s="6" t="s">
        <v>260</v>
      </c>
      <c r="B174" s="5" t="s">
        <v>262</v>
      </c>
      <c r="C174" s="18"/>
      <c r="D174" s="18">
        <v>100000</v>
      </c>
      <c r="E174" s="18"/>
      <c r="F174" s="18">
        <f t="shared" si="24"/>
        <v>100000</v>
      </c>
    </row>
    <row r="175" spans="1:6" ht="16.5" x14ac:dyDescent="0.3">
      <c r="A175" s="20" t="s">
        <v>230</v>
      </c>
      <c r="B175" s="2" t="s">
        <v>231</v>
      </c>
      <c r="C175" s="21">
        <f>SUM(C176:C178)</f>
        <v>0</v>
      </c>
      <c r="D175" s="21">
        <f>SUM(D176:D178)</f>
        <v>0</v>
      </c>
      <c r="E175" s="21">
        <f>SUM(E176:E178)</f>
        <v>5320068.7300000004</v>
      </c>
      <c r="F175" s="21">
        <f>SUM(F176:F178)</f>
        <v>5320068.7300000004</v>
      </c>
    </row>
    <row r="176" spans="1:6" x14ac:dyDescent="0.2">
      <c r="A176" s="6" t="s">
        <v>232</v>
      </c>
      <c r="B176" s="5" t="s">
        <v>233</v>
      </c>
      <c r="C176" s="18">
        <v>0</v>
      </c>
      <c r="D176" s="18"/>
      <c r="E176" s="18">
        <f>5147545.65+172523.08</f>
        <v>5320068.7300000004</v>
      </c>
      <c r="F176" s="18">
        <f t="shared" si="24"/>
        <v>5320068.7300000004</v>
      </c>
    </row>
    <row r="177" spans="1:7" x14ac:dyDescent="0.2">
      <c r="A177" s="6"/>
      <c r="B177" s="5"/>
      <c r="C177" s="18"/>
      <c r="D177" s="18"/>
      <c r="E177" s="18"/>
      <c r="F177" s="18">
        <f t="shared" si="24"/>
        <v>0</v>
      </c>
    </row>
    <row r="178" spans="1:7" ht="13.5" thickBot="1" x14ac:dyDescent="0.25">
      <c r="A178" s="19"/>
      <c r="B178" s="5"/>
      <c r="C178" s="18"/>
      <c r="D178" s="18"/>
      <c r="E178" s="18"/>
      <c r="F178" s="18">
        <f t="shared" si="24"/>
        <v>0</v>
      </c>
    </row>
    <row r="179" spans="1:7" ht="16.5" thickBot="1" x14ac:dyDescent="0.3">
      <c r="A179" s="14">
        <v>2.6</v>
      </c>
      <c r="B179" s="8" t="s">
        <v>210</v>
      </c>
      <c r="C179" s="15">
        <f>C180+C187+C192+C196+C203+C207+C210</f>
        <v>0</v>
      </c>
      <c r="D179" s="15">
        <f>D180+D187+D192+D196+D203+D207+D210</f>
        <v>0</v>
      </c>
      <c r="E179" s="15">
        <f>E180+E187+E192+E196+E203+E207+E210</f>
        <v>6678397.1799999997</v>
      </c>
      <c r="F179" s="15">
        <f>F180+F187+F192+F196+F203+F207+F210</f>
        <v>6678397.1799999997</v>
      </c>
      <c r="G179" s="15">
        <f>G180+G187+G192+G196+G203+G207+G210</f>
        <v>0</v>
      </c>
    </row>
    <row r="180" spans="1:7" ht="16.5" x14ac:dyDescent="0.3">
      <c r="A180" s="16" t="s">
        <v>211</v>
      </c>
      <c r="B180" s="11" t="s">
        <v>42</v>
      </c>
      <c r="C180" s="17">
        <f t="shared" ref="C180:E180" si="26">SUM(C181:C186)</f>
        <v>0</v>
      </c>
      <c r="D180" s="17">
        <f t="shared" si="26"/>
        <v>0</v>
      </c>
      <c r="E180" s="17">
        <f t="shared" si="26"/>
        <v>324682.2</v>
      </c>
      <c r="F180" s="17">
        <f>SUM(F181:F186)</f>
        <v>324682.2</v>
      </c>
    </row>
    <row r="181" spans="1:7" x14ac:dyDescent="0.2">
      <c r="A181" s="6" t="s">
        <v>212</v>
      </c>
      <c r="B181" s="5" t="s">
        <v>214</v>
      </c>
      <c r="C181" s="18"/>
      <c r="D181" s="18"/>
      <c r="E181" s="18">
        <f>273706.2+24544</f>
        <v>298250.2</v>
      </c>
      <c r="F181" s="18">
        <f>SUM(C181:E181)</f>
        <v>298250.2</v>
      </c>
    </row>
    <row r="182" spans="1:7" x14ac:dyDescent="0.2">
      <c r="A182" s="6" t="s">
        <v>296</v>
      </c>
      <c r="B182" s="5" t="s">
        <v>239</v>
      </c>
      <c r="C182" s="18"/>
      <c r="D182" s="18"/>
      <c r="E182" s="18"/>
      <c r="F182" s="18">
        <f t="shared" ref="F182:F186" si="27">SUM(C182:E182)</f>
        <v>0</v>
      </c>
    </row>
    <row r="183" spans="1:7" x14ac:dyDescent="0.2">
      <c r="A183" s="6" t="s">
        <v>213</v>
      </c>
      <c r="B183" s="5" t="s">
        <v>226</v>
      </c>
      <c r="C183" s="18"/>
      <c r="D183" s="18"/>
      <c r="E183" s="18"/>
      <c r="F183" s="18">
        <f t="shared" si="27"/>
        <v>0</v>
      </c>
    </row>
    <row r="184" spans="1:7" x14ac:dyDescent="0.2">
      <c r="A184" s="6" t="s">
        <v>292</v>
      </c>
      <c r="B184" s="5" t="s">
        <v>293</v>
      </c>
      <c r="C184" s="18"/>
      <c r="D184" s="18"/>
      <c r="E184" s="18"/>
      <c r="F184" s="18">
        <f t="shared" si="27"/>
        <v>0</v>
      </c>
    </row>
    <row r="185" spans="1:7" x14ac:dyDescent="0.2">
      <c r="A185" s="6" t="s">
        <v>240</v>
      </c>
      <c r="B185" s="5" t="s">
        <v>241</v>
      </c>
      <c r="C185" s="18"/>
      <c r="D185" s="18"/>
      <c r="E185" s="18">
        <v>26432</v>
      </c>
      <c r="F185" s="18">
        <f t="shared" si="27"/>
        <v>26432</v>
      </c>
    </row>
    <row r="186" spans="1:7" x14ac:dyDescent="0.2">
      <c r="A186" s="6"/>
      <c r="B186" s="5"/>
      <c r="C186" s="18"/>
      <c r="D186" s="18"/>
      <c r="E186" s="18"/>
      <c r="F186" s="18">
        <f t="shared" si="27"/>
        <v>0</v>
      </c>
    </row>
    <row r="187" spans="1:7" ht="16.5" x14ac:dyDescent="0.3">
      <c r="A187" s="20" t="s">
        <v>242</v>
      </c>
      <c r="B187" s="2" t="s">
        <v>243</v>
      </c>
      <c r="C187" s="21">
        <f t="shared" ref="C187:E187" si="28">SUM(C188:C191)</f>
        <v>0</v>
      </c>
      <c r="D187" s="21">
        <f t="shared" si="28"/>
        <v>0</v>
      </c>
      <c r="E187" s="21">
        <f t="shared" si="28"/>
        <v>1187708.8199999998</v>
      </c>
      <c r="F187" s="21">
        <f>SUM(F188:F191)</f>
        <v>1187708.8199999998</v>
      </c>
    </row>
    <row r="188" spans="1:7" x14ac:dyDescent="0.2">
      <c r="A188" s="6" t="s">
        <v>244</v>
      </c>
      <c r="B188" s="5" t="s">
        <v>245</v>
      </c>
      <c r="C188" s="18"/>
      <c r="D188" s="18">
        <v>0</v>
      </c>
      <c r="E188" s="18">
        <f>233400.34+663792.48+244378</f>
        <v>1141570.8199999998</v>
      </c>
      <c r="F188" s="18">
        <f>+E188+D188+C188</f>
        <v>1141570.8199999998</v>
      </c>
    </row>
    <row r="189" spans="1:7" x14ac:dyDescent="0.2">
      <c r="A189" s="6" t="s">
        <v>246</v>
      </c>
      <c r="B189" s="5" t="s">
        <v>247</v>
      </c>
      <c r="C189" s="18"/>
      <c r="D189" s="18"/>
      <c r="E189" s="18">
        <v>46138</v>
      </c>
      <c r="F189" s="18">
        <f t="shared" ref="F189:F195" si="29">+E189+D189+C189</f>
        <v>46138</v>
      </c>
    </row>
    <row r="190" spans="1:7" x14ac:dyDescent="0.2">
      <c r="A190" s="6" t="s">
        <v>263</v>
      </c>
      <c r="B190" s="5" t="s">
        <v>264</v>
      </c>
      <c r="C190" s="18"/>
      <c r="D190" s="18">
        <v>0</v>
      </c>
      <c r="E190" s="18"/>
      <c r="F190" s="18">
        <f t="shared" si="29"/>
        <v>0</v>
      </c>
    </row>
    <row r="191" spans="1:7" x14ac:dyDescent="0.2">
      <c r="A191" s="6"/>
      <c r="B191" s="5"/>
      <c r="C191" s="18"/>
      <c r="D191" s="18"/>
      <c r="E191" s="18"/>
      <c r="F191" s="18">
        <f t="shared" si="29"/>
        <v>0</v>
      </c>
    </row>
    <row r="192" spans="1:7" ht="16.5" x14ac:dyDescent="0.3">
      <c r="A192" s="20" t="s">
        <v>215</v>
      </c>
      <c r="B192" s="2" t="s">
        <v>216</v>
      </c>
      <c r="C192" s="21">
        <f t="shared" ref="C192:E192" si="30">SUM(C193:C195)</f>
        <v>0</v>
      </c>
      <c r="D192" s="21">
        <f t="shared" si="30"/>
        <v>0</v>
      </c>
      <c r="E192" s="21">
        <f t="shared" si="30"/>
        <v>0</v>
      </c>
      <c r="F192" s="21">
        <f>SUM(F193:F195)</f>
        <v>0</v>
      </c>
    </row>
    <row r="193" spans="1:6" x14ac:dyDescent="0.2">
      <c r="A193" s="6" t="s">
        <v>217</v>
      </c>
      <c r="B193" s="5" t="s">
        <v>218</v>
      </c>
      <c r="C193" s="18"/>
      <c r="D193" s="18"/>
      <c r="E193" s="18"/>
      <c r="F193" s="18">
        <f t="shared" si="29"/>
        <v>0</v>
      </c>
    </row>
    <row r="194" spans="1:6" x14ac:dyDescent="0.2">
      <c r="A194" s="6" t="s">
        <v>265</v>
      </c>
      <c r="B194" s="5" t="s">
        <v>266</v>
      </c>
      <c r="C194" s="18"/>
      <c r="D194" s="18"/>
      <c r="E194" s="18"/>
      <c r="F194" s="18">
        <f t="shared" si="29"/>
        <v>0</v>
      </c>
    </row>
    <row r="195" spans="1:6" x14ac:dyDescent="0.2">
      <c r="A195" s="6"/>
      <c r="B195" s="5"/>
      <c r="C195" s="18"/>
      <c r="D195" s="18"/>
      <c r="E195" s="18"/>
      <c r="F195" s="18">
        <f t="shared" si="29"/>
        <v>0</v>
      </c>
    </row>
    <row r="196" spans="1:6" ht="16.5" x14ac:dyDescent="0.3">
      <c r="A196" s="20" t="s">
        <v>219</v>
      </c>
      <c r="B196" s="2" t="s">
        <v>248</v>
      </c>
      <c r="C196" s="21">
        <f>SUM(C197:C202)</f>
        <v>0</v>
      </c>
      <c r="D196" s="21">
        <f>SUM(D197:D202)</f>
        <v>0</v>
      </c>
      <c r="E196" s="21">
        <f>SUM(E197:E202)</f>
        <v>1010871.0200000001</v>
      </c>
      <c r="F196" s="21">
        <f>SUM(F197:F202)</f>
        <v>1010871.0200000001</v>
      </c>
    </row>
    <row r="197" spans="1:6" x14ac:dyDescent="0.2">
      <c r="A197" s="6" t="s">
        <v>249</v>
      </c>
      <c r="B197" s="5" t="s">
        <v>250</v>
      </c>
      <c r="C197" s="18"/>
      <c r="D197" s="18"/>
      <c r="E197" s="18"/>
      <c r="F197" s="18">
        <f>+E197+D197+C197</f>
        <v>0</v>
      </c>
    </row>
    <row r="198" spans="1:6" x14ac:dyDescent="0.2">
      <c r="A198" s="6" t="s">
        <v>301</v>
      </c>
      <c r="B198" s="5" t="s">
        <v>302</v>
      </c>
      <c r="C198" s="18"/>
      <c r="D198" s="18"/>
      <c r="E198" s="18">
        <f>179574.2+44840</f>
        <v>224414.2</v>
      </c>
      <c r="F198" s="18">
        <f t="shared" ref="F198:F202" si="31">+E198+D198+C198</f>
        <v>224414.2</v>
      </c>
    </row>
    <row r="199" spans="1:6" x14ac:dyDescent="0.2">
      <c r="A199" s="6" t="s">
        <v>267</v>
      </c>
      <c r="B199" s="5" t="s">
        <v>268</v>
      </c>
      <c r="C199" s="18"/>
      <c r="D199" s="18">
        <v>0</v>
      </c>
      <c r="E199" s="18">
        <f>672150.42+21169+30798</f>
        <v>724117.42</v>
      </c>
      <c r="F199" s="18">
        <f t="shared" si="31"/>
        <v>724117.42</v>
      </c>
    </row>
    <row r="200" spans="1:6" x14ac:dyDescent="0.2">
      <c r="A200" s="6" t="s">
        <v>251</v>
      </c>
      <c r="B200" s="5" t="s">
        <v>252</v>
      </c>
      <c r="C200" s="18">
        <v>0</v>
      </c>
      <c r="D200" s="18"/>
      <c r="E200" s="18">
        <v>62339.4</v>
      </c>
      <c r="F200" s="18">
        <f t="shared" si="31"/>
        <v>62339.4</v>
      </c>
    </row>
    <row r="201" spans="1:6" x14ac:dyDescent="0.2">
      <c r="A201" s="6" t="s">
        <v>282</v>
      </c>
      <c r="B201" s="5" t="s">
        <v>283</v>
      </c>
      <c r="C201" s="18"/>
      <c r="D201" s="18"/>
      <c r="E201" s="18"/>
      <c r="F201" s="18">
        <f t="shared" si="31"/>
        <v>0</v>
      </c>
    </row>
    <row r="202" spans="1:6" x14ac:dyDescent="0.2">
      <c r="A202" s="19"/>
      <c r="B202" s="5"/>
      <c r="C202" s="18"/>
      <c r="D202" s="18"/>
      <c r="E202" s="18"/>
      <c r="F202" s="18">
        <f t="shared" si="31"/>
        <v>0</v>
      </c>
    </row>
    <row r="203" spans="1:6" ht="16.5" x14ac:dyDescent="0.3">
      <c r="A203" s="20" t="s">
        <v>284</v>
      </c>
      <c r="B203" s="2" t="s">
        <v>285</v>
      </c>
      <c r="C203" s="21"/>
      <c r="D203" s="21">
        <f>SUM(D204:D205)</f>
        <v>0</v>
      </c>
      <c r="E203" s="21">
        <f>+E204</f>
        <v>0</v>
      </c>
      <c r="F203" s="21">
        <f>+E203+D203+C203</f>
        <v>0</v>
      </c>
    </row>
    <row r="204" spans="1:6" x14ac:dyDescent="0.2">
      <c r="A204" s="6" t="s">
        <v>286</v>
      </c>
      <c r="B204" s="5" t="s">
        <v>288</v>
      </c>
      <c r="C204" s="18"/>
      <c r="D204" s="18"/>
      <c r="E204" s="18"/>
      <c r="F204" s="18">
        <f>+E204+D204+C204</f>
        <v>0</v>
      </c>
    </row>
    <row r="205" spans="1:6" x14ac:dyDescent="0.2">
      <c r="A205" s="6" t="s">
        <v>287</v>
      </c>
      <c r="B205" s="5" t="s">
        <v>289</v>
      </c>
      <c r="C205" s="18"/>
      <c r="D205" s="18">
        <v>0</v>
      </c>
      <c r="E205" s="18"/>
      <c r="F205" s="18">
        <f>SUM(C205:E205)</f>
        <v>0</v>
      </c>
    </row>
    <row r="206" spans="1:6" ht="16.5" customHeight="1" x14ac:dyDescent="0.2">
      <c r="A206" s="19"/>
      <c r="B206" s="5"/>
      <c r="C206" s="18"/>
      <c r="D206" s="18"/>
      <c r="E206" s="18"/>
      <c r="F206" s="18"/>
    </row>
    <row r="207" spans="1:6" ht="16.5" x14ac:dyDescent="0.3">
      <c r="A207" s="20" t="s">
        <v>220</v>
      </c>
      <c r="B207" s="2" t="s">
        <v>221</v>
      </c>
      <c r="C207" s="21">
        <f>SUM(C208:C212)</f>
        <v>0</v>
      </c>
      <c r="D207" s="21">
        <f>SUM(D208:D212)</f>
        <v>0</v>
      </c>
      <c r="E207" s="21">
        <f>SUM(E208:E209)</f>
        <v>0</v>
      </c>
      <c r="F207" s="21">
        <f>SUM(F208:F209)</f>
        <v>0</v>
      </c>
    </row>
    <row r="208" spans="1:6" x14ac:dyDescent="0.2">
      <c r="A208" s="6" t="s">
        <v>222</v>
      </c>
      <c r="B208" s="5" t="s">
        <v>43</v>
      </c>
      <c r="C208" s="18"/>
      <c r="D208" s="18"/>
      <c r="E208" s="18"/>
      <c r="F208" s="27">
        <f t="shared" ref="F208:F209" si="32">SUM(C208:E208)</f>
        <v>0</v>
      </c>
    </row>
    <row r="209" spans="1:6" x14ac:dyDescent="0.2">
      <c r="A209" s="6" t="s">
        <v>269</v>
      </c>
      <c r="B209" s="5" t="s">
        <v>223</v>
      </c>
      <c r="C209" s="18"/>
      <c r="D209" s="18"/>
      <c r="E209" s="18"/>
      <c r="F209" s="27">
        <f t="shared" si="32"/>
        <v>0</v>
      </c>
    </row>
    <row r="210" spans="1:6" ht="16.5" x14ac:dyDescent="0.3">
      <c r="A210" s="20" t="s">
        <v>300</v>
      </c>
      <c r="B210" s="2" t="s">
        <v>285</v>
      </c>
      <c r="C210" s="21">
        <f t="shared" ref="C210:D210" si="33">SUM(C211:C212)</f>
        <v>0</v>
      </c>
      <c r="D210" s="21">
        <f t="shared" si="33"/>
        <v>0</v>
      </c>
      <c r="E210" s="21">
        <f>SUM(E211:E212)</f>
        <v>4155135.14</v>
      </c>
      <c r="F210" s="21">
        <f>SUM(F211:F212)</f>
        <v>4155135.14</v>
      </c>
    </row>
    <row r="211" spans="1:6" x14ac:dyDescent="0.2">
      <c r="A211" s="26" t="s">
        <v>308</v>
      </c>
      <c r="B211" s="5" t="s">
        <v>288</v>
      </c>
      <c r="C211" s="27"/>
      <c r="D211" s="27"/>
      <c r="E211" s="27">
        <v>4155135.14</v>
      </c>
      <c r="F211" s="27">
        <f>SUM(C211:E211)</f>
        <v>4155135.14</v>
      </c>
    </row>
    <row r="212" spans="1:6" ht="13.5" thickBot="1" x14ac:dyDescent="0.25">
      <c r="A212" s="22"/>
      <c r="B212" s="7"/>
      <c r="C212" s="23"/>
      <c r="D212" s="23"/>
      <c r="E212" s="23"/>
      <c r="F212" s="27">
        <f>SUM(C212:E212)</f>
        <v>0</v>
      </c>
    </row>
    <row r="213" spans="1:6" ht="18.75" thickBot="1" x14ac:dyDescent="0.3">
      <c r="A213" s="41"/>
      <c r="B213" s="42" t="s">
        <v>44</v>
      </c>
      <c r="C213" s="43">
        <f>C179+C169+C106+C41+C9</f>
        <v>25539139.080000002</v>
      </c>
      <c r="D213" s="43">
        <f>D179+D169+D106+D41+D9</f>
        <v>100346100.49000001</v>
      </c>
      <c r="E213" s="43">
        <f>E179+E169+E106+E41+E9</f>
        <v>22792284.689999998</v>
      </c>
      <c r="F213" s="43">
        <f>+E213+D213+C213</f>
        <v>148677524.26000002</v>
      </c>
    </row>
    <row r="214" spans="1:6" ht="13.5" thickTop="1" x14ac:dyDescent="0.2">
      <c r="A214" s="9"/>
      <c r="B214" s="10"/>
      <c r="C214" s="1"/>
      <c r="D214" s="1"/>
      <c r="E214" s="1"/>
      <c r="F214" s="1"/>
    </row>
    <row r="215" spans="1:6" hidden="1" x14ac:dyDescent="0.2"/>
    <row r="216" spans="1:6" hidden="1" x14ac:dyDescent="0.2"/>
    <row r="217" spans="1:6" hidden="1" x14ac:dyDescent="0.2">
      <c r="F217" s="3"/>
    </row>
    <row r="218" spans="1:6" hidden="1" x14ac:dyDescent="0.2"/>
    <row r="219" spans="1:6" hidden="1" x14ac:dyDescent="0.2"/>
    <row r="220" spans="1:6" hidden="1" x14ac:dyDescent="0.2"/>
    <row r="221" spans="1:6" hidden="1" x14ac:dyDescent="0.2"/>
    <row r="222" spans="1:6" hidden="1" x14ac:dyDescent="0.2">
      <c r="A222" t="s">
        <v>235</v>
      </c>
      <c r="C222" s="28" t="e">
        <f>+C207+C196+C192+C187+C180+C175+C159+C149+C135+C128+C125+C118+C114+C107+C102+C89+#REF!+C69+C62+C57+C54+C50+C42+C36+C26+C22+C19+C13+C10</f>
        <v>#REF!</v>
      </c>
      <c r="D222" s="28">
        <f>+D179+D169+D106+D41+D9</f>
        <v>100346100.49000001</v>
      </c>
      <c r="E222" s="28" t="e">
        <f>+E207+E196+E192+E187+E180+E175+E159+E149+E135+E128+E125+E118+E114+E107+E102+E89+#REF!+E69+E62+E57+E54+E50+E42+E36+E26+E22+E19+E13+E10</f>
        <v>#REF!</v>
      </c>
      <c r="F222" s="28" t="e">
        <f>+E222+D222+C222</f>
        <v>#REF!</v>
      </c>
    </row>
    <row r="223" spans="1:6" hidden="1" x14ac:dyDescent="0.2"/>
    <row r="224" spans="1:6" hidden="1" x14ac:dyDescent="0.2">
      <c r="F224" s="3"/>
    </row>
    <row r="225" spans="1:7" hidden="1" x14ac:dyDescent="0.2"/>
    <row r="226" spans="1:7" x14ac:dyDescent="0.2">
      <c r="A226" s="29" t="s">
        <v>272</v>
      </c>
      <c r="C226" s="30">
        <f>+C9+C41+C106+C169+C179-C213</f>
        <v>0</v>
      </c>
      <c r="D226" s="30">
        <f>+D9+D41+D106+D169+D179-D213</f>
        <v>0</v>
      </c>
      <c r="E226" s="30">
        <f>+E9+E41+E106+E169+E179-E213</f>
        <v>0</v>
      </c>
      <c r="F226" s="30">
        <f>+F9+F41+F106+F169+F179-F213</f>
        <v>0</v>
      </c>
      <c r="G226" s="30"/>
    </row>
    <row r="227" spans="1:7" x14ac:dyDescent="0.2">
      <c r="C227" s="30"/>
      <c r="F227" s="30"/>
    </row>
  </sheetData>
  <mergeCells count="6">
    <mergeCell ref="A6:F6"/>
    <mergeCell ref="A1:F1"/>
    <mergeCell ref="A2:F2"/>
    <mergeCell ref="A3:F3"/>
    <mergeCell ref="A4:F4"/>
    <mergeCell ref="A5:F5"/>
  </mergeCells>
  <printOptions horizontalCentered="1"/>
  <pageMargins left="0" right="0" top="0.5" bottom="0" header="0" footer="0"/>
  <pageSetup scale="60" orientation="portrait" r:id="rId1"/>
  <headerFooter alignWithMargins="0"/>
  <rowBreaks count="3" manualBreakCount="3">
    <brk id="65" max="5" man="1"/>
    <brk id="133" max="5" man="1"/>
    <brk id="21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Octubre 2015</vt:lpstr>
      <vt:lpstr>'Consolidado Octubre 2015'!Área_de_impresión</vt:lpstr>
      <vt:lpstr>'Consolidado Octubre 2015'!Títulos_a_imprimir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2015-11-06T16:20:37Z</cp:lastPrinted>
  <dcterms:created xsi:type="dcterms:W3CDTF">2013-08-07T15:42:38Z</dcterms:created>
  <dcterms:modified xsi:type="dcterms:W3CDTF">2019-03-29T14:24:57Z</dcterms:modified>
</cp:coreProperties>
</file>