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715" windowHeight="11070"/>
  </bookViews>
  <sheets>
    <sheet name="consolidado marzo 2018 (2)" sheetId="1" r:id="rId1"/>
  </sheets>
  <definedNames>
    <definedName name="_xlnm.Print_Area" localSheetId="0">'consolidado marzo 2018 (2)'!$A$1:$F$217</definedName>
  </definedNames>
  <calcPr calcId="145621"/>
</workbook>
</file>

<file path=xl/calcChain.xml><?xml version="1.0" encoding="utf-8"?>
<calcChain xmlns="http://schemas.openxmlformats.org/spreadsheetml/2006/main">
  <c r="E204" i="1" l="1"/>
  <c r="C204" i="1"/>
  <c r="F204" i="1" s="1"/>
  <c r="D204" i="1"/>
  <c r="J195" i="1"/>
  <c r="F214" i="1" l="1"/>
  <c r="J214" i="1" s="1"/>
  <c r="E213" i="1"/>
  <c r="D213" i="1"/>
  <c r="C213" i="1"/>
  <c r="I212" i="1"/>
  <c r="F212" i="1"/>
  <c r="J212" i="1" s="1"/>
  <c r="I211" i="1"/>
  <c r="F211" i="1"/>
  <c r="J211" i="1" s="1"/>
  <c r="I210" i="1"/>
  <c r="F210" i="1"/>
  <c r="J210" i="1" s="1"/>
  <c r="I209" i="1"/>
  <c r="F209" i="1"/>
  <c r="J209" i="1" s="1"/>
  <c r="I208" i="1"/>
  <c r="E208" i="1"/>
  <c r="D208" i="1"/>
  <c r="C208" i="1"/>
  <c r="I207" i="1"/>
  <c r="F207" i="1"/>
  <c r="J207" i="1" s="1"/>
  <c r="I206" i="1"/>
  <c r="F206" i="1"/>
  <c r="J206" i="1" s="1"/>
  <c r="H205" i="1"/>
  <c r="I205" i="1" s="1"/>
  <c r="I204" i="1" s="1"/>
  <c r="F205" i="1"/>
  <c r="J205" i="1" s="1"/>
  <c r="H204" i="1"/>
  <c r="G204" i="1"/>
  <c r="I203" i="1"/>
  <c r="F203" i="1"/>
  <c r="J203" i="1" s="1"/>
  <c r="I202" i="1"/>
  <c r="F202" i="1"/>
  <c r="J202" i="1" s="1"/>
  <c r="I201" i="1"/>
  <c r="F201" i="1"/>
  <c r="J201" i="1" s="1"/>
  <c r="I200" i="1"/>
  <c r="H200" i="1"/>
  <c r="G200" i="1"/>
  <c r="F200" i="1"/>
  <c r="J200" i="1" s="1"/>
  <c r="I199" i="1"/>
  <c r="F199" i="1"/>
  <c r="J199" i="1" s="1"/>
  <c r="I198" i="1"/>
  <c r="F198" i="1"/>
  <c r="J198" i="1" s="1"/>
  <c r="I197" i="1"/>
  <c r="F197" i="1"/>
  <c r="E197" i="1"/>
  <c r="D197" i="1"/>
  <c r="C197" i="1"/>
  <c r="J197" i="1" s="1"/>
  <c r="I196" i="1"/>
  <c r="F196" i="1"/>
  <c r="I195" i="1"/>
  <c r="I194" i="1"/>
  <c r="I193" i="1" s="1"/>
  <c r="E194" i="1"/>
  <c r="D194" i="1"/>
  <c r="C194" i="1"/>
  <c r="H193" i="1"/>
  <c r="G193" i="1"/>
  <c r="F193" i="1"/>
  <c r="J193" i="1" s="1"/>
  <c r="I192" i="1"/>
  <c r="F192" i="1"/>
  <c r="F191" i="1"/>
  <c r="J191" i="1" s="1"/>
  <c r="I190" i="1"/>
  <c r="H190" i="1"/>
  <c r="G190" i="1"/>
  <c r="F190" i="1"/>
  <c r="J190" i="1" s="1"/>
  <c r="I189" i="1"/>
  <c r="E189" i="1"/>
  <c r="D189" i="1"/>
  <c r="C189" i="1"/>
  <c r="I188" i="1"/>
  <c r="F188" i="1"/>
  <c r="J188" i="1" s="1"/>
  <c r="I187" i="1"/>
  <c r="F187" i="1"/>
  <c r="J187" i="1" s="1"/>
  <c r="I186" i="1"/>
  <c r="F186" i="1"/>
  <c r="J186" i="1" s="1"/>
  <c r="H185" i="1"/>
  <c r="G185" i="1"/>
  <c r="F185" i="1"/>
  <c r="J185" i="1" s="1"/>
  <c r="I184" i="1"/>
  <c r="F184" i="1"/>
  <c r="J184" i="1" s="1"/>
  <c r="I183" i="1"/>
  <c r="F183" i="1"/>
  <c r="J183" i="1" s="1"/>
  <c r="I182" i="1"/>
  <c r="F182" i="1"/>
  <c r="E182" i="1"/>
  <c r="D182" i="1"/>
  <c r="C182" i="1"/>
  <c r="I181" i="1"/>
  <c r="H181" i="1"/>
  <c r="C181" i="1"/>
  <c r="I180" i="1"/>
  <c r="F180" i="1"/>
  <c r="J180" i="1" s="1"/>
  <c r="H179" i="1"/>
  <c r="I179" i="1" s="1"/>
  <c r="I178" i="1" s="1"/>
  <c r="F179" i="1"/>
  <c r="J179" i="1" s="1"/>
  <c r="H178" i="1"/>
  <c r="G178" i="1"/>
  <c r="F178" i="1"/>
  <c r="J178" i="1" s="1"/>
  <c r="G177" i="1"/>
  <c r="E177" i="1"/>
  <c r="D177" i="1"/>
  <c r="C177" i="1"/>
  <c r="I176" i="1"/>
  <c r="F176" i="1"/>
  <c r="J176" i="1" s="1"/>
  <c r="I175" i="1"/>
  <c r="F175" i="1"/>
  <c r="J175" i="1" s="1"/>
  <c r="H174" i="1"/>
  <c r="I174" i="1" s="1"/>
  <c r="I173" i="1" s="1"/>
  <c r="F174" i="1"/>
  <c r="J174" i="1" s="1"/>
  <c r="H173" i="1"/>
  <c r="G173" i="1"/>
  <c r="F173" i="1"/>
  <c r="J173" i="1" s="1"/>
  <c r="I172" i="1"/>
  <c r="F172" i="1"/>
  <c r="J172" i="1" s="1"/>
  <c r="I171" i="1"/>
  <c r="F171" i="1"/>
  <c r="J171" i="1" s="1"/>
  <c r="I170" i="1"/>
  <c r="F170" i="1"/>
  <c r="J170" i="1" s="1"/>
  <c r="I169" i="1"/>
  <c r="E169" i="1"/>
  <c r="D169" i="1"/>
  <c r="D168" i="1" s="1"/>
  <c r="C169" i="1"/>
  <c r="I168" i="1"/>
  <c r="C168" i="1"/>
  <c r="I167" i="1"/>
  <c r="F167" i="1"/>
  <c r="J167" i="1" s="1"/>
  <c r="H166" i="1"/>
  <c r="G166" i="1"/>
  <c r="F166" i="1"/>
  <c r="J166" i="1" s="1"/>
  <c r="G165" i="1"/>
  <c r="F165" i="1"/>
  <c r="J165" i="1" s="1"/>
  <c r="I164" i="1"/>
  <c r="F164" i="1"/>
  <c r="J164" i="1" s="1"/>
  <c r="I163" i="1"/>
  <c r="F163" i="1"/>
  <c r="J163" i="1" s="1"/>
  <c r="H162" i="1"/>
  <c r="I162" i="1" s="1"/>
  <c r="F162" i="1"/>
  <c r="J162" i="1" s="1"/>
  <c r="H161" i="1"/>
  <c r="I161" i="1" s="1"/>
  <c r="F161" i="1"/>
  <c r="H160" i="1"/>
  <c r="I160" i="1" s="1"/>
  <c r="F160" i="1"/>
  <c r="J160" i="1" s="1"/>
  <c r="I159" i="1"/>
  <c r="F159" i="1"/>
  <c r="J159" i="1" s="1"/>
  <c r="I158" i="1"/>
  <c r="E158" i="1"/>
  <c r="D158" i="1"/>
  <c r="C158" i="1"/>
  <c r="H157" i="1"/>
  <c r="I157" i="1" s="1"/>
  <c r="F157" i="1"/>
  <c r="J157" i="1" s="1"/>
  <c r="I156" i="1"/>
  <c r="H156" i="1"/>
  <c r="F156" i="1"/>
  <c r="J156" i="1" s="1"/>
  <c r="G155" i="1"/>
  <c r="F155" i="1"/>
  <c r="H154" i="1"/>
  <c r="I154" i="1" s="1"/>
  <c r="F154" i="1"/>
  <c r="J154" i="1" s="1"/>
  <c r="I153" i="1"/>
  <c r="F153" i="1"/>
  <c r="J153" i="1" s="1"/>
  <c r="I152" i="1"/>
  <c r="F152" i="1"/>
  <c r="J152" i="1" s="1"/>
  <c r="I151" i="1"/>
  <c r="F151" i="1"/>
  <c r="J151" i="1" s="1"/>
  <c r="I150" i="1"/>
  <c r="F150" i="1"/>
  <c r="J150" i="1" s="1"/>
  <c r="I149" i="1"/>
  <c r="E149" i="1"/>
  <c r="D149" i="1"/>
  <c r="C149" i="1"/>
  <c r="C103" i="1" s="1"/>
  <c r="H148" i="1"/>
  <c r="H146" i="1" s="1"/>
  <c r="G148" i="1"/>
  <c r="F148" i="1"/>
  <c r="J148" i="1" s="1"/>
  <c r="I147" i="1"/>
  <c r="F147" i="1"/>
  <c r="J147" i="1" s="1"/>
  <c r="G146" i="1"/>
  <c r="F146" i="1"/>
  <c r="J146" i="1" s="1"/>
  <c r="I145" i="1"/>
  <c r="F145" i="1"/>
  <c r="J145" i="1" s="1"/>
  <c r="I144" i="1"/>
  <c r="F144" i="1"/>
  <c r="J144" i="1" s="1"/>
  <c r="I143" i="1"/>
  <c r="F143" i="1"/>
  <c r="J143" i="1" s="1"/>
  <c r="I142" i="1"/>
  <c r="F142" i="1"/>
  <c r="H141" i="1"/>
  <c r="I141" i="1" s="1"/>
  <c r="F141" i="1"/>
  <c r="J141" i="1" s="1"/>
  <c r="I140" i="1"/>
  <c r="F140" i="1"/>
  <c r="J140" i="1" s="1"/>
  <c r="I139" i="1"/>
  <c r="F139" i="1"/>
  <c r="J139" i="1" s="1"/>
  <c r="I138" i="1"/>
  <c r="F138" i="1"/>
  <c r="J138" i="1" s="1"/>
  <c r="I137" i="1"/>
  <c r="F137" i="1"/>
  <c r="J137" i="1" s="1"/>
  <c r="I136" i="1"/>
  <c r="F136" i="1"/>
  <c r="J136" i="1" s="1"/>
  <c r="I135" i="1"/>
  <c r="F135" i="1"/>
  <c r="J135" i="1" s="1"/>
  <c r="I134" i="1"/>
  <c r="E134" i="1"/>
  <c r="D134" i="1"/>
  <c r="C134" i="1"/>
  <c r="I133" i="1"/>
  <c r="F133" i="1"/>
  <c r="J133" i="1" s="1"/>
  <c r="I132" i="1"/>
  <c r="F132" i="1"/>
  <c r="J132" i="1" s="1"/>
  <c r="H131" i="1"/>
  <c r="G131" i="1"/>
  <c r="F131" i="1"/>
  <c r="J131" i="1" s="1"/>
  <c r="I130" i="1"/>
  <c r="F130" i="1"/>
  <c r="J130" i="1" s="1"/>
  <c r="H129" i="1"/>
  <c r="I129" i="1" s="1"/>
  <c r="F129" i="1"/>
  <c r="J129" i="1" s="1"/>
  <c r="I128" i="1"/>
  <c r="F128" i="1"/>
  <c r="J128" i="1" s="1"/>
  <c r="H127" i="1"/>
  <c r="I127" i="1" s="1"/>
  <c r="E127" i="1"/>
  <c r="D127" i="1"/>
  <c r="C127" i="1"/>
  <c r="I126" i="1"/>
  <c r="F126" i="1"/>
  <c r="J126" i="1" s="1"/>
  <c r="I125" i="1"/>
  <c r="F125" i="1"/>
  <c r="J125" i="1" s="1"/>
  <c r="G124" i="1"/>
  <c r="F124" i="1"/>
  <c r="E124" i="1"/>
  <c r="D124" i="1"/>
  <c r="C124" i="1"/>
  <c r="I123" i="1"/>
  <c r="F123" i="1"/>
  <c r="J123" i="1" s="1"/>
  <c r="I122" i="1"/>
  <c r="F122" i="1"/>
  <c r="J122" i="1" s="1"/>
  <c r="I121" i="1"/>
  <c r="H121" i="1"/>
  <c r="G121" i="1"/>
  <c r="F121" i="1"/>
  <c r="J121" i="1" s="1"/>
  <c r="I120" i="1"/>
  <c r="F120" i="1"/>
  <c r="J120" i="1" s="1"/>
  <c r="I119" i="1"/>
  <c r="F119" i="1"/>
  <c r="J119" i="1" s="1"/>
  <c r="I118" i="1"/>
  <c r="F118" i="1"/>
  <c r="J118" i="1" s="1"/>
  <c r="I117" i="1"/>
  <c r="F117" i="1"/>
  <c r="E117" i="1"/>
  <c r="D117" i="1"/>
  <c r="C117" i="1"/>
  <c r="I116" i="1"/>
  <c r="F116" i="1"/>
  <c r="J116" i="1" s="1"/>
  <c r="I115" i="1"/>
  <c r="F115" i="1"/>
  <c r="J115" i="1" s="1"/>
  <c r="I114" i="1"/>
  <c r="H114" i="1"/>
  <c r="G114" i="1"/>
  <c r="F114" i="1"/>
  <c r="J114" i="1" s="1"/>
  <c r="I113" i="1"/>
  <c r="F113" i="1"/>
  <c r="J113" i="1" s="1"/>
  <c r="I112" i="1"/>
  <c r="F112" i="1"/>
  <c r="J112" i="1" s="1"/>
  <c r="I111" i="1"/>
  <c r="F111" i="1"/>
  <c r="E111" i="1"/>
  <c r="D111" i="1"/>
  <c r="C111" i="1"/>
  <c r="I110" i="1"/>
  <c r="F110" i="1"/>
  <c r="J110" i="1" s="1"/>
  <c r="I109" i="1"/>
  <c r="F109" i="1"/>
  <c r="J109" i="1" s="1"/>
  <c r="H108" i="1"/>
  <c r="G108" i="1"/>
  <c r="F108" i="1"/>
  <c r="J108" i="1" s="1"/>
  <c r="I107" i="1"/>
  <c r="F107" i="1"/>
  <c r="J107" i="1" s="1"/>
  <c r="I106" i="1"/>
  <c r="F106" i="1"/>
  <c r="J106" i="1" s="1"/>
  <c r="I105" i="1"/>
  <c r="F105" i="1"/>
  <c r="J105" i="1" s="1"/>
  <c r="I104" i="1"/>
  <c r="F104" i="1"/>
  <c r="E104" i="1"/>
  <c r="D104" i="1"/>
  <c r="D103" i="1" s="1"/>
  <c r="C104" i="1"/>
  <c r="I103" i="1"/>
  <c r="H102" i="1"/>
  <c r="I102" i="1" s="1"/>
  <c r="F102" i="1"/>
  <c r="J102" i="1" s="1"/>
  <c r="G101" i="1"/>
  <c r="F101" i="1"/>
  <c r="J101" i="1" s="1"/>
  <c r="F100" i="1"/>
  <c r="J100" i="1" s="1"/>
  <c r="I99" i="1"/>
  <c r="F99" i="1"/>
  <c r="J99" i="1" s="1"/>
  <c r="I98" i="1"/>
  <c r="F98" i="1"/>
  <c r="E98" i="1"/>
  <c r="D98" i="1"/>
  <c r="C98" i="1"/>
  <c r="I97" i="1"/>
  <c r="F97" i="1"/>
  <c r="J97" i="1" s="1"/>
  <c r="I96" i="1"/>
  <c r="F96" i="1"/>
  <c r="J96" i="1" s="1"/>
  <c r="H95" i="1"/>
  <c r="G95" i="1"/>
  <c r="F95" i="1"/>
  <c r="J95" i="1" s="1"/>
  <c r="G94" i="1"/>
  <c r="I94" i="1" s="1"/>
  <c r="F94" i="1"/>
  <c r="J94" i="1" s="1"/>
  <c r="I93" i="1"/>
  <c r="F93" i="1"/>
  <c r="J93" i="1" s="1"/>
  <c r="H92" i="1"/>
  <c r="I92" i="1" s="1"/>
  <c r="F92" i="1"/>
  <c r="J92" i="1" s="1"/>
  <c r="I91" i="1"/>
  <c r="F91" i="1"/>
  <c r="J91" i="1" s="1"/>
  <c r="I90" i="1"/>
  <c r="F90" i="1"/>
  <c r="J90" i="1" s="1"/>
  <c r="I89" i="1"/>
  <c r="F89" i="1"/>
  <c r="J89" i="1" s="1"/>
  <c r="I88" i="1"/>
  <c r="F88" i="1"/>
  <c r="J88" i="1" s="1"/>
  <c r="H87" i="1"/>
  <c r="I87" i="1" s="1"/>
  <c r="F87" i="1"/>
  <c r="J87" i="1" s="1"/>
  <c r="I86" i="1"/>
  <c r="F86" i="1"/>
  <c r="J86" i="1" s="1"/>
  <c r="I85" i="1"/>
  <c r="H85" i="1"/>
  <c r="F85" i="1"/>
  <c r="J85" i="1" s="1"/>
  <c r="I84" i="1"/>
  <c r="F84" i="1"/>
  <c r="J84" i="1" s="1"/>
  <c r="I83" i="1"/>
  <c r="F83" i="1"/>
  <c r="J83" i="1" s="1"/>
  <c r="I82" i="1"/>
  <c r="E82" i="1"/>
  <c r="D82" i="1"/>
  <c r="C82" i="1"/>
  <c r="I81" i="1"/>
  <c r="H81" i="1"/>
  <c r="F81" i="1"/>
  <c r="J81" i="1" s="1"/>
  <c r="I80" i="1"/>
  <c r="F80" i="1"/>
  <c r="J80" i="1" s="1"/>
  <c r="F79" i="1"/>
  <c r="J79" i="1" s="1"/>
  <c r="I78" i="1"/>
  <c r="F78" i="1"/>
  <c r="J78" i="1" s="1"/>
  <c r="I77" i="1"/>
  <c r="F77" i="1"/>
  <c r="J77" i="1" s="1"/>
  <c r="I76" i="1"/>
  <c r="F76" i="1"/>
  <c r="J76" i="1" s="1"/>
  <c r="H75" i="1"/>
  <c r="I75" i="1" s="1"/>
  <c r="F75" i="1"/>
  <c r="J75" i="1" s="1"/>
  <c r="I74" i="1"/>
  <c r="F74" i="1"/>
  <c r="J74" i="1" s="1"/>
  <c r="H73" i="1"/>
  <c r="I73" i="1" s="1"/>
  <c r="F73" i="1"/>
  <c r="J73" i="1" s="1"/>
  <c r="I72" i="1"/>
  <c r="F72" i="1"/>
  <c r="J72" i="1" s="1"/>
  <c r="I71" i="1"/>
  <c r="F71" i="1"/>
  <c r="J71" i="1" s="1"/>
  <c r="I70" i="1"/>
  <c r="F70" i="1"/>
  <c r="J70" i="1" s="1"/>
  <c r="I69" i="1"/>
  <c r="F69" i="1"/>
  <c r="J69" i="1" s="1"/>
  <c r="H68" i="1"/>
  <c r="I68" i="1" s="1"/>
  <c r="F68" i="1"/>
  <c r="J68" i="1" s="1"/>
  <c r="I67" i="1"/>
  <c r="H67" i="1"/>
  <c r="E67" i="1"/>
  <c r="D67" i="1"/>
  <c r="C67" i="1"/>
  <c r="G66" i="1"/>
  <c r="F66" i="1"/>
  <c r="J66" i="1" s="1"/>
  <c r="I65" i="1"/>
  <c r="F65" i="1"/>
  <c r="J65" i="1" s="1"/>
  <c r="I64" i="1"/>
  <c r="F64" i="1"/>
  <c r="J64" i="1" s="1"/>
  <c r="I63" i="1"/>
  <c r="F63" i="1"/>
  <c r="J63" i="1" s="1"/>
  <c r="I62" i="1"/>
  <c r="F62" i="1"/>
  <c r="E62" i="1"/>
  <c r="D62" i="1"/>
  <c r="C62" i="1"/>
  <c r="J62" i="1" s="1"/>
  <c r="H61" i="1"/>
  <c r="G61" i="1"/>
  <c r="F61" i="1"/>
  <c r="J61" i="1" s="1"/>
  <c r="I60" i="1"/>
  <c r="F60" i="1"/>
  <c r="J60" i="1" s="1"/>
  <c r="H59" i="1"/>
  <c r="I59" i="1" s="1"/>
  <c r="F59" i="1"/>
  <c r="J59" i="1" s="1"/>
  <c r="I58" i="1"/>
  <c r="H58" i="1"/>
  <c r="F58" i="1"/>
  <c r="J58" i="1" s="1"/>
  <c r="I57" i="1"/>
  <c r="F57" i="1"/>
  <c r="J57" i="1" s="1"/>
  <c r="I56" i="1"/>
  <c r="F56" i="1"/>
  <c r="J56" i="1" s="1"/>
  <c r="I55" i="1"/>
  <c r="F55" i="1"/>
  <c r="G54" i="1"/>
  <c r="I54" i="1" s="1"/>
  <c r="F54" i="1"/>
  <c r="J54" i="1" s="1"/>
  <c r="G53" i="1"/>
  <c r="E53" i="1"/>
  <c r="D53" i="1"/>
  <c r="C53" i="1"/>
  <c r="H52" i="1"/>
  <c r="I52" i="1" s="1"/>
  <c r="D52" i="1"/>
  <c r="I51" i="1"/>
  <c r="F51" i="1"/>
  <c r="J51" i="1" s="1"/>
  <c r="I50" i="1"/>
  <c r="F50" i="1"/>
  <c r="H49" i="1"/>
  <c r="I49" i="1" s="1"/>
  <c r="I48" i="1" s="1"/>
  <c r="F49" i="1"/>
  <c r="J49" i="1" s="1"/>
  <c r="G48" i="1"/>
  <c r="E48" i="1"/>
  <c r="C48" i="1"/>
  <c r="F47" i="1"/>
  <c r="J47" i="1" s="1"/>
  <c r="H46" i="1"/>
  <c r="I46" i="1" s="1"/>
  <c r="I45" i="1" s="1"/>
  <c r="F46" i="1"/>
  <c r="J46" i="1" s="1"/>
  <c r="H45" i="1"/>
  <c r="G45" i="1"/>
  <c r="F45" i="1"/>
  <c r="E45" i="1"/>
  <c r="D45" i="1"/>
  <c r="C45" i="1"/>
  <c r="I44" i="1"/>
  <c r="I42" i="1" s="1"/>
  <c r="H44" i="1"/>
  <c r="F44" i="1"/>
  <c r="J44" i="1" s="1"/>
  <c r="I43" i="1"/>
  <c r="F43" i="1"/>
  <c r="J43" i="1" s="1"/>
  <c r="H42" i="1"/>
  <c r="G42" i="1"/>
  <c r="E42" i="1"/>
  <c r="D42" i="1"/>
  <c r="C42" i="1"/>
  <c r="H41" i="1"/>
  <c r="I41" i="1" s="1"/>
  <c r="F41" i="1"/>
  <c r="J41" i="1" s="1"/>
  <c r="H40" i="1"/>
  <c r="I40" i="1" s="1"/>
  <c r="F40" i="1"/>
  <c r="J40" i="1" s="1"/>
  <c r="I39" i="1"/>
  <c r="H39" i="1"/>
  <c r="F39" i="1"/>
  <c r="J39" i="1" s="1"/>
  <c r="H38" i="1"/>
  <c r="G38" i="1"/>
  <c r="I38" i="1" s="1"/>
  <c r="F38" i="1"/>
  <c r="J38" i="1" s="1"/>
  <c r="I37" i="1"/>
  <c r="F37" i="1"/>
  <c r="J37" i="1" s="1"/>
  <c r="H36" i="1"/>
  <c r="H35" i="1" s="1"/>
  <c r="G36" i="1"/>
  <c r="F36" i="1"/>
  <c r="J36" i="1" s="1"/>
  <c r="G35" i="1"/>
  <c r="E35" i="1"/>
  <c r="D35" i="1"/>
  <c r="C35" i="1"/>
  <c r="H33" i="1"/>
  <c r="G33" i="1"/>
  <c r="I33" i="1" s="1"/>
  <c r="F33" i="1"/>
  <c r="J33" i="1" s="1"/>
  <c r="H32" i="1"/>
  <c r="G32" i="1"/>
  <c r="F32" i="1"/>
  <c r="J32" i="1" s="1"/>
  <c r="H31" i="1"/>
  <c r="G31" i="1"/>
  <c r="I31" i="1" s="1"/>
  <c r="F31" i="1"/>
  <c r="J31" i="1" s="1"/>
  <c r="H30" i="1"/>
  <c r="F30" i="1"/>
  <c r="E30" i="1"/>
  <c r="D30" i="1"/>
  <c r="C30" i="1"/>
  <c r="I29" i="1"/>
  <c r="F29" i="1"/>
  <c r="J29" i="1" s="1"/>
  <c r="I28" i="1"/>
  <c r="H28" i="1"/>
  <c r="G28" i="1"/>
  <c r="E28" i="1"/>
  <c r="D28" i="1"/>
  <c r="C28" i="1"/>
  <c r="I27" i="1"/>
  <c r="F27" i="1"/>
  <c r="J27" i="1" s="1"/>
  <c r="I26" i="1"/>
  <c r="F26" i="1"/>
  <c r="J26" i="1" s="1"/>
  <c r="I25" i="1"/>
  <c r="F25" i="1"/>
  <c r="J25" i="1" s="1"/>
  <c r="G24" i="1"/>
  <c r="I24" i="1" s="1"/>
  <c r="F24" i="1"/>
  <c r="J24" i="1" s="1"/>
  <c r="I23" i="1"/>
  <c r="F23" i="1"/>
  <c r="J23" i="1" s="1"/>
  <c r="H22" i="1"/>
  <c r="I22" i="1" s="1"/>
  <c r="F22" i="1"/>
  <c r="J22" i="1" s="1"/>
  <c r="H21" i="1"/>
  <c r="E21" i="1"/>
  <c r="D21" i="1"/>
  <c r="C21" i="1"/>
  <c r="I20" i="1"/>
  <c r="F20" i="1"/>
  <c r="J20" i="1" s="1"/>
  <c r="I19" i="1"/>
  <c r="I18" i="1" s="1"/>
  <c r="F19" i="1"/>
  <c r="J19" i="1" s="1"/>
  <c r="H18" i="1"/>
  <c r="G18" i="1"/>
  <c r="E18" i="1"/>
  <c r="D18" i="1"/>
  <c r="C18" i="1"/>
  <c r="I17" i="1"/>
  <c r="F17" i="1"/>
  <c r="J17" i="1" s="1"/>
  <c r="I16" i="1"/>
  <c r="H16" i="1"/>
  <c r="G16" i="1"/>
  <c r="F16" i="1"/>
  <c r="E16" i="1"/>
  <c r="D16" i="1"/>
  <c r="C16" i="1"/>
  <c r="I15" i="1"/>
  <c r="F15" i="1"/>
  <c r="J15" i="1" s="1"/>
  <c r="I14" i="1"/>
  <c r="F14" i="1"/>
  <c r="J14" i="1" s="1"/>
  <c r="H13" i="1"/>
  <c r="H12" i="1" s="1"/>
  <c r="G13" i="1"/>
  <c r="F13" i="1"/>
  <c r="J13" i="1" s="1"/>
  <c r="G12" i="1"/>
  <c r="E12" i="1"/>
  <c r="D12" i="1"/>
  <c r="C12" i="1"/>
  <c r="I11" i="1"/>
  <c r="F11" i="1"/>
  <c r="J11" i="1" s="1"/>
  <c r="H10" i="1"/>
  <c r="G10" i="1"/>
  <c r="I10" i="1" s="1"/>
  <c r="I9" i="1" s="1"/>
  <c r="F10" i="1"/>
  <c r="J10" i="1" s="1"/>
  <c r="H9" i="1"/>
  <c r="E9" i="1"/>
  <c r="D9" i="1"/>
  <c r="C9" i="1"/>
  <c r="I61" i="1" l="1"/>
  <c r="F9" i="1"/>
  <c r="J9" i="1" s="1"/>
  <c r="E8" i="1"/>
  <c r="E34" i="1"/>
  <c r="C34" i="1"/>
  <c r="J117" i="1"/>
  <c r="E103" i="1"/>
  <c r="F28" i="1"/>
  <c r="J28" i="1" s="1"/>
  <c r="I21" i="1"/>
  <c r="D8" i="1"/>
  <c r="F67" i="1"/>
  <c r="G100" i="1"/>
  <c r="I166" i="1"/>
  <c r="F169" i="1"/>
  <c r="H165" i="1"/>
  <c r="E168" i="1"/>
  <c r="H177" i="1"/>
  <c r="I177" i="1" s="1"/>
  <c r="F52" i="1"/>
  <c r="J52" i="1"/>
  <c r="F53" i="1"/>
  <c r="J55" i="1"/>
  <c r="I66" i="1"/>
  <c r="I79" i="1"/>
  <c r="C8" i="1"/>
  <c r="G9" i="1"/>
  <c r="F12" i="1"/>
  <c r="I13" i="1"/>
  <c r="I12" i="1" s="1"/>
  <c r="J16" i="1"/>
  <c r="F18" i="1"/>
  <c r="J18" i="1" s="1"/>
  <c r="F21" i="1"/>
  <c r="J21" i="1" s="1"/>
  <c r="J30" i="1"/>
  <c r="G30" i="1"/>
  <c r="I32" i="1"/>
  <c r="I30" i="1" s="1"/>
  <c r="F35" i="1"/>
  <c r="J35" i="1" s="1"/>
  <c r="I36" i="1"/>
  <c r="F42" i="1"/>
  <c r="J45" i="1"/>
  <c r="J67" i="1"/>
  <c r="H79" i="1"/>
  <c r="J98" i="1"/>
  <c r="I95" i="1"/>
  <c r="I101" i="1"/>
  <c r="J104" i="1"/>
  <c r="J111" i="1"/>
  <c r="I108" i="1"/>
  <c r="J124" i="1"/>
  <c r="F127" i="1"/>
  <c r="J127" i="1" s="1"/>
  <c r="I124" i="1"/>
  <c r="F134" i="1"/>
  <c r="J134" i="1" s="1"/>
  <c r="J142" i="1"/>
  <c r="I148" i="1"/>
  <c r="I146" i="1" s="1"/>
  <c r="F149" i="1"/>
  <c r="J149" i="1" s="1"/>
  <c r="J155" i="1"/>
  <c r="H155" i="1"/>
  <c r="F158" i="1"/>
  <c r="J158" i="1" s="1"/>
  <c r="J161" i="1"/>
  <c r="J169" i="1"/>
  <c r="F177" i="1"/>
  <c r="J182" i="1"/>
  <c r="E181" i="1"/>
  <c r="J204" i="1"/>
  <c r="D181" i="1"/>
  <c r="F181" i="1" s="1"/>
  <c r="F213" i="1"/>
  <c r="J213" i="1" s="1"/>
  <c r="H8" i="1"/>
  <c r="J42" i="1"/>
  <c r="F48" i="1"/>
  <c r="J50" i="1"/>
  <c r="J53" i="1"/>
  <c r="F82" i="1"/>
  <c r="J82" i="1" s="1"/>
  <c r="I131" i="1"/>
  <c r="I155" i="1"/>
  <c r="I165" i="1"/>
  <c r="J177" i="1"/>
  <c r="I185" i="1"/>
  <c r="F189" i="1"/>
  <c r="J189" i="1" s="1"/>
  <c r="J192" i="1"/>
  <c r="F194" i="1"/>
  <c r="J194" i="1" s="1"/>
  <c r="J196" i="1"/>
  <c r="I35" i="1"/>
  <c r="I53" i="1"/>
  <c r="G21" i="1"/>
  <c r="D48" i="1"/>
  <c r="D34" i="1" s="1"/>
  <c r="H48" i="1"/>
  <c r="H53" i="1"/>
  <c r="H66" i="1"/>
  <c r="G79" i="1"/>
  <c r="G34" i="1" s="1"/>
  <c r="H101" i="1"/>
  <c r="H124" i="1"/>
  <c r="C216" i="1" l="1"/>
  <c r="D216" i="1"/>
  <c r="I100" i="1"/>
  <c r="F34" i="1"/>
  <c r="J34" i="1" s="1"/>
  <c r="F8" i="1"/>
  <c r="F103" i="1"/>
  <c r="J103" i="1" s="1"/>
  <c r="E216" i="1"/>
  <c r="F168" i="1"/>
  <c r="J168" i="1" s="1"/>
  <c r="I8" i="1"/>
  <c r="J48" i="1"/>
  <c r="J12" i="1"/>
  <c r="H100" i="1"/>
  <c r="H34" i="1"/>
  <c r="G8" i="1"/>
  <c r="I34" i="1"/>
  <c r="J181" i="1"/>
  <c r="F208" i="1"/>
  <c r="J208" i="1" s="1"/>
  <c r="I213" i="1"/>
  <c r="F216" i="1" l="1"/>
  <c r="J8" i="1"/>
</calcChain>
</file>

<file path=xl/comments1.xml><?xml version="1.0" encoding="utf-8"?>
<comments xmlns="http://schemas.openxmlformats.org/spreadsheetml/2006/main">
  <authors>
    <author>Carlos Acevedo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Carlos Acevedo: ESISTEN 3 PERSONA QUE SE LE PAGAN POR CHEQUE. POR UN MONTO TOTAL DE RD$120,000.00.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Carlos Acevedo: ESISTEN 3 PERSONA QUE SE LE PAGAN POR CHEQUE. POR UN MONTO TOTAL DE RD$120,000.00.</t>
        </r>
      </text>
    </comment>
  </commentList>
</comments>
</file>

<file path=xl/sharedStrings.xml><?xml version="1.0" encoding="utf-8"?>
<sst xmlns="http://schemas.openxmlformats.org/spreadsheetml/2006/main" count="409" uniqueCount="405">
  <si>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</si>
  <si>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</si>
  <si>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</si>
  <si>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31 DE MARZO 2018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</si>
  <si>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</si>
  <si>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</si>
  <si>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</si>
  <si>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</si>
  <si>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</si>
  <si>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</si>
  <si>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</si>
  <si>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</si>
  <si>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</si>
  <si>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</si>
  <si>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</si>
  <si>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</si>
  <si>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</si>
  <si>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</si>
  <si>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</si>
  <si>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</si>
  <si>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</si>
  <si>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</si>
  <si>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</si>
  <si>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</si>
  <si>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</si>
  <si>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</si>
  <si>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</si>
  <si>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</si>
  <si>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</si>
  <si>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</si>
  <si>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</si>
  <si>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</si>
  <si>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</si>
  <si>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</si>
  <si>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</si>
  <si>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</si>
  <si>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</si>
  <si>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</si>
  <si>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</si>
  <si>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</si>
  <si>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</si>
  <si>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</si>
  <si>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</si>
  <si>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</si>
  <si>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</si>
  <si>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</si>
  <si>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</si>
  <si>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</si>
  <si>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</si>
  <si>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</si>
  <si>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</si>
  <si>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</si>
  <si>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</si>
  <si>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</si>
  <si>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</si>
  <si>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</si>
  <si>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</si>
  <si>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</si>
  <si>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</si>
  <si>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</si>
  <si>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</si>
  <si>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</si>
  <si>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</si>
  <si>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</si>
  <si>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</si>
  <si>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</si>
  <si>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</si>
  <si>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</si>
  <si>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</si>
  <si>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</si>
  <si>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</si>
  <si>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</si>
  <si>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</si>
  <si>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</si>
  <si>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</si>
  <si>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2.2.1.8.01</t>
  </si>
  <si>
    <t xml:space="preserve">Desechos Solidos </t>
  </si>
  <si>
    <t>2.2.2</t>
  </si>
  <si>
    <t>Publicidad, Impresión y Encuadernación</t>
  </si>
  <si>
    <t>2.2.2.1.01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</si>
  <si>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</si>
  <si>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</si>
  <si>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</si>
  <si>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</si>
  <si>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</si>
  <si>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</si>
  <si>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</si>
  <si>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2.2.3.1.02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</si>
  <si>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</si>
  <si>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</si>
  <si>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</si>
  <si>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</si>
  <si>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</si>
  <si>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</si>
  <si>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</si>
  <si>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</si>
  <si>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</si>
  <si>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</si>
  <si>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</si>
  <si>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</si>
  <si>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</si>
  <si>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2.2.5.1.01</t>
  </si>
  <si>
    <t xml:space="preserve">Alquileres y rentas de edificios y Locales </t>
  </si>
  <si>
    <t>2.2.5.2.01</t>
  </si>
  <si>
    <t>Alquileres de equipos de producción</t>
  </si>
  <si>
    <t>2.2.5.3.01</t>
  </si>
  <si>
    <t>Alquiler de equipo educacional</t>
  </si>
  <si>
    <t>2.2.5.3.02</t>
  </si>
  <si>
    <t>Alquiler de equipo para computación</t>
  </si>
  <si>
    <t>2.2.5.3.04</t>
  </si>
  <si>
    <t>Alquileres de Equipos de Oficina</t>
  </si>
  <si>
    <t>2.2.5.4</t>
  </si>
  <si>
    <t>Alquileres de Equipos de Transportel , Tracción y Elev</t>
  </si>
  <si>
    <t>2.2.5.8.01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</si>
  <si>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</si>
  <si>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</si>
  <si>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</si>
  <si>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</si>
  <si>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</si>
  <si>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2.2.6.2.01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</si>
  <si>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</si>
  <si>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</si>
  <si>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</si>
  <si>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</si>
  <si>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</si>
  <si>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</si>
  <si>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</si>
  <si>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2.2.7.1.02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</si>
  <si>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</si>
  <si>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</si>
  <si>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</si>
  <si>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</si>
  <si>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</si>
  <si>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</si>
  <si>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</si>
  <si>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2.2.7.2.01</t>
  </si>
  <si>
    <t>Mantenimiento y reparación de muebles y equipos de oficina</t>
  </si>
  <si>
    <t>2.2.7.2.2</t>
  </si>
  <si>
    <t>Mantenimiento y Repacion de Equipo de Computacion</t>
  </si>
  <si>
    <t>2.2.7.2.06</t>
  </si>
  <si>
    <t xml:space="preserve">Reparaciones de Maquinarias  Equipos de Transporte </t>
  </si>
  <si>
    <t>2.2.7.2.07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</si>
  <si>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</si>
  <si>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</si>
  <si>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</si>
  <si>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</si>
  <si>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</si>
  <si>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2.2.7.2.6</t>
  </si>
  <si>
    <t>Mantenimiento y Reparación de Equipo de Transporte</t>
  </si>
  <si>
    <t>2.2.7.2.08</t>
  </si>
  <si>
    <t>Servicios de mantenimiento, reparación, desmonte e instalación</t>
  </si>
  <si>
    <t>2.2.7.3</t>
  </si>
  <si>
    <t xml:space="preserve">Instaciones Temporales </t>
  </si>
  <si>
    <t>2.2.8</t>
  </si>
  <si>
    <t>Otros Servicios no Personales</t>
  </si>
  <si>
    <t>2.2.8.1.01</t>
  </si>
  <si>
    <t xml:space="preserve">Gastos Judiciales </t>
  </si>
  <si>
    <t>2.2.8.2.01</t>
  </si>
  <si>
    <t xml:space="preserve">Comisiones y gastos bancarios </t>
  </si>
  <si>
    <t>2.2.8.3.01</t>
  </si>
  <si>
    <t>Servicios sanitarios médicos y veterinarios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</si>
  <si>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</si>
  <si>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</si>
  <si>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</si>
  <si>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</si>
  <si>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</si>
  <si>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</si>
  <si>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2.2.8.5.03</t>
  </si>
  <si>
    <t xml:space="preserve">Limpieza e Higiene </t>
  </si>
  <si>
    <t>2.2.8.6.01</t>
  </si>
  <si>
    <t>Eventos Generales</t>
  </si>
  <si>
    <t>2.2.8.6.4</t>
  </si>
  <si>
    <t xml:space="preserve">Festividades </t>
  </si>
  <si>
    <t>2.2.8.7</t>
  </si>
  <si>
    <t>Servicios Técnicos y Profesionales</t>
  </si>
  <si>
    <t>2.2.8.7.02</t>
  </si>
  <si>
    <t>Servicios 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</si>
  <si>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</si>
  <si>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</si>
  <si>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</si>
  <si>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</si>
  <si>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</si>
  <si>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</si>
  <si>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</si>
  <si>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</si>
  <si>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</si>
  <si>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</si>
  <si>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</si>
  <si>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</si>
  <si>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</si>
  <si>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</si>
  <si>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</si>
  <si>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</si>
  <si>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</si>
  <si>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</si>
  <si>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</si>
  <si>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</si>
  <si>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</si>
  <si>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</si>
  <si>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</si>
  <si>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</si>
  <si>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</si>
  <si>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</si>
  <si>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</si>
  <si>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</si>
  <si>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</si>
  <si>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</si>
  <si>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</si>
  <si>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</si>
  <si>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</si>
  <si>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</si>
  <si>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</si>
  <si>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</si>
  <si>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</si>
  <si>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</si>
  <si>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</si>
  <si>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</si>
  <si>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</si>
  <si>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</si>
  <si>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</si>
  <si>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</si>
  <si>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</si>
  <si>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</si>
  <si>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</si>
  <si>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</si>
  <si>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</si>
  <si>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</si>
  <si>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</si>
  <si>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</si>
  <si>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</si>
  <si>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</si>
  <si>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</si>
  <si>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</si>
  <si>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</si>
  <si>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</si>
  <si>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</si>
  <si>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</si>
  <si>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</si>
  <si>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</si>
  <si>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</si>
  <si>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</si>
  <si>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</si>
  <si>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</si>
  <si>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</si>
  <si>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</si>
  <si>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</si>
  <si>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</si>
  <si>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</si>
  <si>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</si>
  <si>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</si>
  <si>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</si>
  <si>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</si>
  <si>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</si>
  <si>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</si>
  <si>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</si>
  <si>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</si>
  <si>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</si>
  <si>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</si>
  <si>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</si>
  <si>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</si>
  <si>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</si>
  <si>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</si>
  <si>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</si>
  <si>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</si>
  <si>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2.3.6.3.03</t>
  </si>
  <si>
    <t>Estructuras metálicas acabadas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</si>
  <si>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</si>
  <si>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</si>
  <si>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</si>
  <si>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</si>
  <si>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</si>
  <si>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</si>
  <si>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</si>
  <si>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</si>
  <si>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</si>
  <si>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</si>
  <si>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</si>
  <si>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</si>
  <si>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</si>
  <si>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</si>
  <si>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</si>
  <si>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</si>
  <si>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</si>
  <si>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</si>
  <si>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</si>
  <si>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</si>
  <si>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</si>
  <si>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</si>
  <si>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</si>
  <si>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químicos de uso personal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</si>
  <si>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</si>
  <si>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</si>
  <si>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</si>
  <si>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</si>
  <si>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</si>
  <si>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quimicos y Conexos </t>
  </si>
  <si>
    <t>2.3.9.1.01</t>
  </si>
  <si>
    <t>Material para limpieza</t>
  </si>
  <si>
    <t>2.3.9.2.01</t>
  </si>
  <si>
    <t xml:space="preserve">Utiles de escritorio, oficina, informatica y de enseñanza </t>
  </si>
  <si>
    <t>2.3.9.3</t>
  </si>
  <si>
    <t xml:space="preserve">Utiles menores medicos quirurgicos </t>
  </si>
  <si>
    <t>2.3.9.4.01</t>
  </si>
  <si>
    <t xml:space="preserve">Utiles destinados a actividades recreativas y deportivas </t>
  </si>
  <si>
    <t>2.3.9.5</t>
  </si>
  <si>
    <t xml:space="preserve">Utiles de cocina y comedor </t>
  </si>
  <si>
    <t>2.3.9.6.01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</si>
  <si>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</si>
  <si>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</si>
  <si>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</si>
  <si>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</si>
  <si>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</si>
  <si>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</si>
  <si>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</si>
  <si>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</si>
  <si>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</si>
  <si>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</si>
  <si>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</si>
  <si>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</si>
  <si>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</si>
  <si>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>Ayudas y donaciones programadas a hogares y personas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</si>
  <si>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</si>
  <si>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</si>
  <si>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</si>
  <si>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</si>
  <si>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</si>
  <si>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</si>
  <si>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2.4.1.5.01</t>
  </si>
  <si>
    <t>Transferencias corrientes a Empresas del Sector Privado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</si>
  <si>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</si>
  <si>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</si>
  <si>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</si>
  <si>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</si>
  <si>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</si>
  <si>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</si>
  <si>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</si>
  <si>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</si>
  <si>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</si>
  <si>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</si>
  <si>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</si>
  <si>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</si>
  <si>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</si>
  <si>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</si>
  <si>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</si>
  <si>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</si>
  <si>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</si>
  <si>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</si>
  <si>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</si>
  <si>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</si>
  <si>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Electrodomésticos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</si>
  <si>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</si>
  <si>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</si>
  <si>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</si>
  <si>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</si>
  <si>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</si>
  <si>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</si>
  <si>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</si>
  <si>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</si>
  <si>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</si>
  <si>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</si>
  <si>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</si>
  <si>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</si>
  <si>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</si>
  <si>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</si>
  <si>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</si>
  <si>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</si>
  <si>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</si>
  <si>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</si>
  <si>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</si>
  <si>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</si>
  <si>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</si>
  <si>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</si>
  <si>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2.6.5.2.01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</si>
  <si>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</si>
  <si>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</si>
  <si>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</si>
  <si>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</si>
  <si>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</si>
  <si>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</si>
  <si>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</si>
  <si>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</si>
  <si>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</si>
  <si>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</si>
  <si>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</si>
  <si>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</si>
  <si>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</si>
  <si>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2.6.7.3.01</t>
  </si>
  <si>
    <t>Aves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</si>
  <si>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</si>
  <si>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</si>
  <si>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</si>
  <si>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</si>
  <si>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</si>
  <si>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</si>
  <si>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</si>
  <si>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</si>
  <si>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</si>
  <si>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</si>
  <si>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</si>
  <si>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</si>
  <si>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</si>
  <si>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</si>
  <si>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</si>
  <si>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Total General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</si>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</sst>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3" fillId="0" borderId="0" xfId="2"/>
    <xf numFmtId="0" fontId="8" fillId="0" borderId="0" xfId="2" applyFont="1" applyBorder="1"/>
    <xf numFmtId="0" fontId="8" fillId="0" borderId="5" xfId="2" applyFont="1" applyBorder="1"/>
    <xf numFmtId="0" fontId="9" fillId="0" borderId="10" xfId="2" applyFont="1" applyBorder="1" applyAlignment="1">
      <alignment horizontal="center" vertical="center" wrapText="1"/>
    </xf>
    <xf numFmtId="0" fontId="10" fillId="2" borderId="10" xfId="2" applyNumberFormat="1" applyFont="1" applyFill="1" applyBorder="1" applyAlignment="1">
      <alignment horizontal="center"/>
    </xf>
    <xf numFmtId="0" fontId="10" fillId="2" borderId="10" xfId="2" applyFont="1" applyFill="1" applyBorder="1"/>
    <xf numFmtId="43" fontId="9" fillId="2" borderId="10" xfId="2" applyNumberFormat="1" applyFont="1" applyFill="1" applyBorder="1"/>
    <xf numFmtId="0" fontId="11" fillId="3" borderId="11" xfId="2" applyNumberFormat="1" applyFont="1" applyFill="1" applyBorder="1" applyAlignment="1">
      <alignment horizontal="center"/>
    </xf>
    <xf numFmtId="0" fontId="12" fillId="3" borderId="11" xfId="2" applyFont="1" applyFill="1" applyBorder="1"/>
    <xf numFmtId="43" fontId="9" fillId="3" borderId="11" xfId="2" applyNumberFormat="1" applyFont="1" applyFill="1" applyBorder="1"/>
    <xf numFmtId="0" fontId="13" fillId="0" borderId="12" xfId="2" applyNumberFormat="1" applyFont="1" applyBorder="1" applyAlignment="1">
      <alignment horizontal="center"/>
    </xf>
    <xf numFmtId="0" fontId="13" fillId="0" borderId="12" xfId="2" applyFont="1" applyBorder="1"/>
    <xf numFmtId="43" fontId="8" fillId="0" borderId="12" xfId="3" applyFont="1" applyBorder="1"/>
    <xf numFmtId="43" fontId="3" fillId="0" borderId="0" xfId="2" applyNumberFormat="1"/>
    <xf numFmtId="43" fontId="3" fillId="0" borderId="0" xfId="1" applyFont="1"/>
    <xf numFmtId="0" fontId="13" fillId="4" borderId="12" xfId="2" applyFont="1" applyFill="1" applyBorder="1"/>
    <xf numFmtId="0" fontId="11" fillId="3" borderId="12" xfId="2" applyNumberFormat="1" applyFont="1" applyFill="1" applyBorder="1" applyAlignment="1">
      <alignment horizontal="center"/>
    </xf>
    <xf numFmtId="0" fontId="12" fillId="3" borderId="12" xfId="2" applyFont="1" applyFill="1" applyBorder="1"/>
    <xf numFmtId="43" fontId="9" fillId="3" borderId="12" xfId="3" applyFont="1" applyFill="1" applyBorder="1"/>
    <xf numFmtId="43" fontId="8" fillId="0" borderId="12" xfId="3" applyFont="1" applyFill="1" applyBorder="1"/>
    <xf numFmtId="43" fontId="3" fillId="0" borderId="13" xfId="3" applyFill="1" applyBorder="1"/>
    <xf numFmtId="43" fontId="8" fillId="0" borderId="14" xfId="3" applyFont="1" applyBorder="1"/>
    <xf numFmtId="0" fontId="8" fillId="0" borderId="12" xfId="2" applyNumberFormat="1" applyFont="1" applyBorder="1" applyAlignment="1">
      <alignment horizontal="center"/>
    </xf>
    <xf numFmtId="43" fontId="8" fillId="0" borderId="12" xfId="1" applyFont="1" applyBorder="1"/>
    <xf numFmtId="43" fontId="9" fillId="3" borderId="11" xfId="3" applyFont="1" applyFill="1" applyBorder="1"/>
    <xf numFmtId="43" fontId="8" fillId="0" borderId="12" xfId="3" applyFont="1" applyBorder="1" applyAlignment="1">
      <alignment horizontal="right"/>
    </xf>
    <xf numFmtId="49" fontId="13" fillId="0" borderId="12" xfId="2" applyNumberFormat="1" applyFont="1" applyBorder="1" applyAlignment="1">
      <alignment horizontal="center"/>
    </xf>
    <xf numFmtId="4" fontId="0" fillId="0" borderId="0" xfId="0" applyNumberFormat="1"/>
    <xf numFmtId="164" fontId="3" fillId="0" borderId="0" xfId="2" applyNumberFormat="1"/>
    <xf numFmtId="43" fontId="2" fillId="0" borderId="0" xfId="1" applyFont="1"/>
    <xf numFmtId="4" fontId="8" fillId="0" borderId="12" xfId="3" applyNumberFormat="1" applyFont="1" applyBorder="1"/>
    <xf numFmtId="43" fontId="11" fillId="3" borderId="12" xfId="2" applyNumberFormat="1" applyFont="1" applyFill="1" applyBorder="1" applyAlignment="1">
      <alignment horizontal="center"/>
    </xf>
    <xf numFmtId="43" fontId="8" fillId="0" borderId="15" xfId="3" applyFont="1" applyBorder="1"/>
    <xf numFmtId="49" fontId="13" fillId="3" borderId="15" xfId="2" applyNumberFormat="1" applyFont="1" applyFill="1" applyBorder="1" applyAlignment="1">
      <alignment horizontal="center"/>
    </xf>
    <xf numFmtId="0" fontId="13" fillId="0" borderId="15" xfId="2" applyFont="1" applyBorder="1"/>
    <xf numFmtId="43" fontId="8" fillId="0" borderId="16" xfId="3" applyFont="1" applyBorder="1"/>
    <xf numFmtId="49" fontId="13" fillId="0" borderId="16" xfId="2" applyNumberFormat="1" applyFont="1" applyBorder="1" applyAlignment="1">
      <alignment horizontal="center"/>
    </xf>
    <xf numFmtId="0" fontId="13" fillId="0" borderId="16" xfId="2" applyFont="1" applyBorder="1"/>
    <xf numFmtId="43" fontId="3" fillId="0" borderId="0" xfId="3" applyFont="1"/>
    <xf numFmtId="43" fontId="9" fillId="0" borderId="12" xfId="3" applyFont="1" applyFill="1" applyBorder="1"/>
    <xf numFmtId="0" fontId="14" fillId="0" borderId="12" xfId="2" applyNumberFormat="1" applyFont="1" applyFill="1" applyBorder="1" applyAlignment="1">
      <alignment horizontal="center"/>
    </xf>
    <xf numFmtId="0" fontId="8" fillId="0" borderId="12" xfId="2" applyFont="1" applyFill="1" applyBorder="1"/>
    <xf numFmtId="0" fontId="3" fillId="0" borderId="0" xfId="2" applyFill="1"/>
    <xf numFmtId="43" fontId="0" fillId="0" borderId="0" xfId="1" applyFont="1"/>
    <xf numFmtId="43" fontId="8" fillId="4" borderId="12" xfId="3" applyFont="1" applyFill="1" applyBorder="1"/>
    <xf numFmtId="43" fontId="9" fillId="4" borderId="12" xfId="3" applyFont="1" applyFill="1" applyBorder="1"/>
    <xf numFmtId="43" fontId="8" fillId="3" borderId="15" xfId="3" applyFont="1" applyFill="1" applyBorder="1"/>
    <xf numFmtId="43" fontId="8" fillId="0" borderId="17" xfId="3" applyFont="1" applyBorder="1"/>
    <xf numFmtId="49" fontId="13" fillId="0" borderId="15" xfId="2" applyNumberFormat="1" applyFont="1" applyBorder="1" applyAlignment="1">
      <alignment horizontal="center"/>
    </xf>
    <xf numFmtId="43" fontId="15" fillId="3" borderId="18" xfId="3" applyFont="1" applyFill="1" applyBorder="1"/>
    <xf numFmtId="43" fontId="3" fillId="0" borderId="2" xfId="1" applyFont="1" applyBorder="1"/>
    <xf numFmtId="43" fontId="3" fillId="0" borderId="2" xfId="2" applyNumberFormat="1" applyBorder="1"/>
    <xf numFmtId="0" fontId="8" fillId="0" borderId="17" xfId="2" applyNumberFormat="1" applyFont="1" applyBorder="1" applyAlignment="1">
      <alignment horizontal="center"/>
    </xf>
    <xf numFmtId="0" fontId="13" fillId="0" borderId="17" xfId="2" applyFont="1" applyBorder="1"/>
    <xf numFmtId="0" fontId="16" fillId="3" borderId="18" xfId="2" applyNumberFormat="1" applyFont="1" applyFill="1" applyBorder="1" applyAlignment="1">
      <alignment horizontal="center"/>
    </xf>
    <xf numFmtId="0" fontId="16" fillId="3" borderId="18" xfId="2" applyFont="1" applyFill="1" applyBorder="1"/>
    <xf numFmtId="0" fontId="3" fillId="0" borderId="0" xfId="2" applyNumberFormat="1" applyBorder="1"/>
    <xf numFmtId="0" fontId="13" fillId="0" borderId="0" xfId="2" applyFont="1" applyBorder="1"/>
    <xf numFmtId="43" fontId="17" fillId="0" borderId="0" xfId="2" applyNumberFormat="1" applyFont="1"/>
    <xf numFmtId="0" fontId="3" fillId="0" borderId="0" xfId="2" applyFont="1"/>
    <xf numFmtId="0" fontId="7" fillId="0" borderId="6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8" fillId="0" borderId="9" xfId="2" applyFont="1" applyBorder="1"/>
    <xf numFmtId="0" fontId="4" fillId="0" borderId="1" xfId="2" applyFont="1" applyBorder="1" applyAlignment="1" applyProtection="1">
      <alignment horizontal="center"/>
      <protection locked="0"/>
    </xf>
    <xf numFmtId="0" fontId="4" fillId="0" borderId="2" xfId="2" applyFont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165" fontId="4" fillId="0" borderId="4" xfId="2" applyNumberFormat="1" applyFont="1" applyFill="1" applyBorder="1" applyAlignment="1" applyProtection="1">
      <alignment horizontal="center"/>
      <protection locked="0"/>
    </xf>
    <xf numFmtId="165" fontId="4" fillId="0" borderId="0" xfId="2" applyNumberFormat="1" applyFont="1" applyFill="1" applyBorder="1" applyAlignment="1" applyProtection="1">
      <alignment horizontal="center"/>
      <protection locked="0"/>
    </xf>
    <xf numFmtId="165" fontId="4" fillId="0" borderId="5" xfId="2" applyNumberFormat="1" applyFont="1" applyFill="1" applyBorder="1" applyAlignment="1" applyProtection="1">
      <alignment horizont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/>
      <protection locked="0"/>
    </xf>
    <xf numFmtId="0" fontId="6" fillId="0" borderId="5" xfId="2" applyFont="1" applyBorder="1" applyAlignment="1" applyProtection="1">
      <alignment horizontal="center"/>
      <protection locked="0"/>
    </xf>
  </cellXfs>
  <cellStyles count="6">
    <cellStyle name="Millares" xfId="1" builtinId="3"/>
    <cellStyle name="Millares 2" xfId="4"/>
    <cellStyle name="Millares 2 2" xfId="3"/>
    <cellStyle name="Normal" xfId="0" builtinId="0"/>
    <cellStyle name="Normal 2" xfId="5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tabSelected="1" topLeftCell="A185" zoomScaleNormal="100" workbookViewId="0">
      <selection activeCell="F217" sqref="F217"/>
    </sheetView>
  </sheetViews>
  <sheetFormatPr baseColWidth="10" defaultColWidth="11.42578125" defaultRowHeight="12.75" x14ac:dyDescent="0.2"/>
  <cols>
    <col min="1" max="1" width="18.140625" style="1" customWidth="1"/>
    <col min="2" max="2" width="45.28515625" style="1" customWidth="1"/>
    <col min="3" max="3" width="15" style="1" customWidth="1"/>
    <col min="4" max="4" width="16.140625" style="1" customWidth="1"/>
    <col min="5" max="5" width="18.7109375" style="1" customWidth="1"/>
    <col min="6" max="6" width="16.140625" style="1" customWidth="1"/>
    <col min="7" max="8" width="15" style="1" hidden="1" customWidth="1"/>
    <col min="9" max="9" width="16.140625" style="1" hidden="1" customWidth="1"/>
    <col min="10" max="10" width="13.85546875" style="1" bestFit="1" customWidth="1"/>
    <col min="11" max="11" width="14.140625" style="1" bestFit="1" customWidth="1"/>
    <col min="12" max="16384" width="11.42578125" style="1"/>
  </cols>
  <sheetData>
    <row r="1" spans="1:11" ht="26.25" thickTop="1" x14ac:dyDescent="0.35">
      <c r="A1" s="65" t="s">
        <v>0</v>
      </c>
      <c r="B1" s="66"/>
      <c r="C1" s="66"/>
      <c r="D1" s="66"/>
      <c r="E1" s="66"/>
      <c r="F1" s="67"/>
    </row>
    <row r="2" spans="1:11" ht="23.25" x14ac:dyDescent="0.35">
      <c r="A2" s="68" t="s">
        <v>1</v>
      </c>
      <c r="B2" s="69"/>
      <c r="C2" s="69"/>
      <c r="D2" s="69"/>
      <c r="E2" s="69"/>
      <c r="F2" s="70"/>
    </row>
    <row r="3" spans="1:11" ht="23.25" x14ac:dyDescent="0.35">
      <c r="A3" s="68" t="s">
        <v>2</v>
      </c>
      <c r="B3" s="69"/>
      <c r="C3" s="69"/>
      <c r="D3" s="69"/>
      <c r="E3" s="69"/>
      <c r="F3" s="70"/>
    </row>
    <row r="4" spans="1:11" ht="25.5" x14ac:dyDescent="0.35">
      <c r="A4" s="71" t="s">
        <v>3</v>
      </c>
      <c r="B4" s="72"/>
      <c r="C4" s="72"/>
      <c r="D4" s="72"/>
      <c r="E4" s="72"/>
      <c r="F4" s="73"/>
    </row>
    <row r="5" spans="1:11" ht="21" thickBot="1" x14ac:dyDescent="0.35">
      <c r="A5" s="74" t="s">
        <v>4</v>
      </c>
      <c r="B5" s="75"/>
      <c r="C5" s="75"/>
      <c r="D5" s="75"/>
      <c r="E5" s="75"/>
      <c r="F5" s="76"/>
    </row>
    <row r="6" spans="1:11" ht="31.5" customHeight="1" thickTop="1" thickBot="1" x14ac:dyDescent="0.25">
      <c r="A6" s="61" t="s">
        <v>5</v>
      </c>
      <c r="B6" s="63" t="s">
        <v>6</v>
      </c>
      <c r="C6" s="2"/>
      <c r="D6" s="2"/>
      <c r="E6" s="2"/>
      <c r="F6" s="3"/>
      <c r="G6" s="2"/>
      <c r="H6" s="2"/>
      <c r="I6" s="3"/>
    </row>
    <row r="7" spans="1:11" ht="28.5" customHeight="1" thickBot="1" x14ac:dyDescent="0.25">
      <c r="A7" s="62"/>
      <c r="B7" s="64"/>
      <c r="C7" s="4" t="s">
        <v>7</v>
      </c>
      <c r="D7" s="4" t="s">
        <v>8</v>
      </c>
      <c r="E7" s="4" t="s">
        <v>9</v>
      </c>
      <c r="F7" s="4" t="s">
        <v>10</v>
      </c>
      <c r="G7" s="4" t="s">
        <v>7</v>
      </c>
      <c r="H7" s="4" t="s">
        <v>9</v>
      </c>
      <c r="I7" s="4" t="s">
        <v>10</v>
      </c>
    </row>
    <row r="8" spans="1:11" ht="16.5" thickBot="1" x14ac:dyDescent="0.3">
      <c r="A8" s="5">
        <v>2.1</v>
      </c>
      <c r="B8" s="6" t="s">
        <v>11</v>
      </c>
      <c r="C8" s="7">
        <f>+C9+C12+C16+C18+C21+C30</f>
        <v>25197929.899999999</v>
      </c>
      <c r="D8" s="7">
        <f>+D9+D12+D16+D18+D21+D28+D30</f>
        <v>24179210.290000007</v>
      </c>
      <c r="E8" s="7">
        <f>+E9+E12+E18+E21+E30</f>
        <v>8256992.7199999997</v>
      </c>
      <c r="F8" s="7">
        <f>+F9+F12+F16+F18+F21+F30</f>
        <v>57634132.909999996</v>
      </c>
      <c r="G8" s="7">
        <f>+G9+G12+G16+G18+G21+G30</f>
        <v>75543695.919999987</v>
      </c>
      <c r="H8" s="7">
        <f>+H9+H12+H18+H21+H30</f>
        <v>23797019.270000003</v>
      </c>
      <c r="I8" s="7" t="e">
        <f>+I9+I12+I16+I18+I21+I30</f>
        <v>#REF!</v>
      </c>
      <c r="J8" s="14">
        <f>+C8+D8+E8-F8</f>
        <v>0</v>
      </c>
    </row>
    <row r="9" spans="1:11" ht="16.5" x14ac:dyDescent="0.3">
      <c r="A9" s="8" t="s">
        <v>12</v>
      </c>
      <c r="B9" s="9" t="s">
        <v>13</v>
      </c>
      <c r="C9" s="10">
        <f>SUM(C10:C11)</f>
        <v>21764547.399999999</v>
      </c>
      <c r="D9" s="10">
        <f>SUM(D10:D11)</f>
        <v>15814149.130000001</v>
      </c>
      <c r="E9" s="10">
        <f>SUM(E10:E11)</f>
        <v>3968167.5</v>
      </c>
      <c r="F9" s="10">
        <f t="shared" ref="F9" si="0">SUM(F10:F11)</f>
        <v>41546864.030000001</v>
      </c>
      <c r="G9" s="10">
        <f>SUM(G10:G11)</f>
        <v>65248988.389999993</v>
      </c>
      <c r="H9" s="10">
        <f>SUM(H10:H11)</f>
        <v>11966669.17</v>
      </c>
      <c r="I9" s="10" t="e">
        <f t="shared" ref="I9" si="1">SUM(I10:I11)</f>
        <v>#REF!</v>
      </c>
      <c r="J9" s="14">
        <f t="shared" ref="J9:J72" si="2">+C9+D9+E9-F9</f>
        <v>0</v>
      </c>
    </row>
    <row r="10" spans="1:11" x14ac:dyDescent="0.2">
      <c r="A10" s="11" t="s">
        <v>14</v>
      </c>
      <c r="B10" s="12" t="s">
        <v>15</v>
      </c>
      <c r="C10" s="13">
        <v>21764547.399999999</v>
      </c>
      <c r="D10" s="13">
        <v>15814149.130000001</v>
      </c>
      <c r="E10" s="13">
        <v>3968167.5</v>
      </c>
      <c r="F10" s="13">
        <f>SUM(C10:E10)</f>
        <v>41546864.030000001</v>
      </c>
      <c r="G10" s="13">
        <f>21744299.99+21740141+21764547.4</f>
        <v>65248988.389999993</v>
      </c>
      <c r="H10" s="13">
        <f>3966334.17+4032167.5+3968167.5</f>
        <v>11966669.17</v>
      </c>
      <c r="I10" s="13">
        <f>SUM(G10:H10)</f>
        <v>77215657.559999987</v>
      </c>
      <c r="J10" s="14">
        <f t="shared" si="2"/>
        <v>0</v>
      </c>
      <c r="K10" s="15"/>
    </row>
    <row r="11" spans="1:11" hidden="1" x14ac:dyDescent="0.2">
      <c r="A11" s="11" t="s">
        <v>16</v>
      </c>
      <c r="B11" s="16" t="s">
        <v>17</v>
      </c>
      <c r="C11" s="13"/>
      <c r="D11" s="13">
        <v>0</v>
      </c>
      <c r="E11" s="13">
        <v>0</v>
      </c>
      <c r="F11" s="13">
        <f>SUM(C11:E11)</f>
        <v>0</v>
      </c>
      <c r="G11" s="13"/>
      <c r="H11" s="13">
        <v>0</v>
      </c>
      <c r="I11" s="13" t="e">
        <f>+G11+#REF!+H11</f>
        <v>#REF!</v>
      </c>
      <c r="J11" s="14">
        <f t="shared" si="2"/>
        <v>0</v>
      </c>
    </row>
    <row r="12" spans="1:11" ht="16.5" x14ac:dyDescent="0.3">
      <c r="A12" s="17" t="s">
        <v>18</v>
      </c>
      <c r="B12" s="18" t="s">
        <v>19</v>
      </c>
      <c r="C12" s="19">
        <f>SUM(C13:C15)</f>
        <v>81625</v>
      </c>
      <c r="D12" s="19">
        <f t="shared" ref="D12:F12" si="3">SUM(D13:D15)</f>
        <v>6532785.5</v>
      </c>
      <c r="E12" s="19">
        <f t="shared" si="3"/>
        <v>3055300.02</v>
      </c>
      <c r="F12" s="19">
        <f t="shared" si="3"/>
        <v>9669710.5199999996</v>
      </c>
      <c r="G12" s="19">
        <f>SUM(G13:G15)</f>
        <v>244875</v>
      </c>
      <c r="H12" s="19">
        <f t="shared" ref="H12:I12" si="4">SUM(H13:H15)</f>
        <v>8321700.0700000003</v>
      </c>
      <c r="I12" s="19" t="e">
        <f t="shared" si="4"/>
        <v>#REF!</v>
      </c>
      <c r="J12" s="14">
        <f t="shared" si="2"/>
        <v>0</v>
      </c>
    </row>
    <row r="13" spans="1:11" x14ac:dyDescent="0.2">
      <c r="A13" s="11" t="s">
        <v>20</v>
      </c>
      <c r="B13" s="12" t="s">
        <v>21</v>
      </c>
      <c r="C13" s="13">
        <v>81625</v>
      </c>
      <c r="D13" s="13">
        <v>6532785.5</v>
      </c>
      <c r="E13" s="13">
        <v>3055300.02</v>
      </c>
      <c r="F13" s="13">
        <f t="shared" ref="F13:F15" si="5">SUM(C13:E13)</f>
        <v>9669710.5199999996</v>
      </c>
      <c r="G13" s="13">
        <f>81625+81625+81625</f>
        <v>244875</v>
      </c>
      <c r="H13" s="13">
        <f>2528000+2738400.05+3055300.02</f>
        <v>8321700.0700000003</v>
      </c>
      <c r="I13" s="13">
        <f>SUM(G13:H13)</f>
        <v>8566575.0700000003</v>
      </c>
      <c r="J13" s="14">
        <f t="shared" si="2"/>
        <v>0</v>
      </c>
    </row>
    <row r="14" spans="1:11" hidden="1" x14ac:dyDescent="0.2">
      <c r="A14" s="11" t="s">
        <v>22</v>
      </c>
      <c r="B14" s="12" t="s">
        <v>23</v>
      </c>
      <c r="C14" s="13"/>
      <c r="D14" s="13"/>
      <c r="E14" s="13"/>
      <c r="F14" s="13">
        <f t="shared" si="5"/>
        <v>0</v>
      </c>
      <c r="G14" s="13"/>
      <c r="H14" s="13"/>
      <c r="I14" s="13">
        <f>SUM(G14:H14)</f>
        <v>0</v>
      </c>
      <c r="J14" s="14">
        <f t="shared" si="2"/>
        <v>0</v>
      </c>
    </row>
    <row r="15" spans="1:11" hidden="1" x14ac:dyDescent="0.2">
      <c r="A15" s="11" t="s">
        <v>24</v>
      </c>
      <c r="B15" s="12" t="s">
        <v>25</v>
      </c>
      <c r="C15" s="13"/>
      <c r="D15" s="13"/>
      <c r="E15" s="13"/>
      <c r="F15" s="13">
        <f t="shared" si="5"/>
        <v>0</v>
      </c>
      <c r="G15" s="13"/>
      <c r="H15" s="13"/>
      <c r="I15" s="13" t="e">
        <f>+G15+#REF!+H15</f>
        <v>#REF!</v>
      </c>
      <c r="J15" s="14">
        <f t="shared" si="2"/>
        <v>0</v>
      </c>
    </row>
    <row r="16" spans="1:11" ht="16.5" hidden="1" x14ac:dyDescent="0.3">
      <c r="A16" s="17" t="s">
        <v>26</v>
      </c>
      <c r="B16" s="18" t="s">
        <v>27</v>
      </c>
      <c r="C16" s="19">
        <f>SUM(C17)</f>
        <v>0</v>
      </c>
      <c r="D16" s="19">
        <f t="shared" ref="D16:F16" si="6">SUM(D17)</f>
        <v>0</v>
      </c>
      <c r="E16" s="19">
        <f t="shared" si="6"/>
        <v>0</v>
      </c>
      <c r="F16" s="19">
        <f t="shared" si="6"/>
        <v>0</v>
      </c>
      <c r="G16" s="19">
        <f>SUM(G17)</f>
        <v>0</v>
      </c>
      <c r="H16" s="19">
        <f t="shared" ref="H16:I16" si="7">SUM(H17)</f>
        <v>0</v>
      </c>
      <c r="I16" s="19">
        <f t="shared" si="7"/>
        <v>0</v>
      </c>
      <c r="J16" s="14">
        <f t="shared" si="2"/>
        <v>0</v>
      </c>
    </row>
    <row r="17" spans="1:10" hidden="1" x14ac:dyDescent="0.2">
      <c r="A17" s="11" t="s">
        <v>28</v>
      </c>
      <c r="B17" s="12" t="s">
        <v>29</v>
      </c>
      <c r="C17" s="13">
        <v>0</v>
      </c>
      <c r="D17" s="13"/>
      <c r="E17" s="20">
        <v>0</v>
      </c>
      <c r="F17" s="13">
        <f>SUM(C17:E17)</f>
        <v>0</v>
      </c>
      <c r="G17" s="13">
        <v>0</v>
      </c>
      <c r="H17" s="20">
        <v>0</v>
      </c>
      <c r="I17" s="13">
        <f>SUM(G17:H17)</f>
        <v>0</v>
      </c>
      <c r="J17" s="14">
        <f t="shared" si="2"/>
        <v>0</v>
      </c>
    </row>
    <row r="18" spans="1:10" ht="16.5" x14ac:dyDescent="0.3">
      <c r="A18" s="17" t="s">
        <v>30</v>
      </c>
      <c r="B18" s="18" t="s">
        <v>31</v>
      </c>
      <c r="C18" s="19">
        <f>SUM(C19:C20)</f>
        <v>0</v>
      </c>
      <c r="D18" s="19">
        <f t="shared" ref="D18:F18" si="8">SUM(D19:D20)</f>
        <v>272814.40999999997</v>
      </c>
      <c r="E18" s="19">
        <f t="shared" si="8"/>
        <v>0</v>
      </c>
      <c r="F18" s="19">
        <f t="shared" si="8"/>
        <v>272814.40999999997</v>
      </c>
      <c r="G18" s="19">
        <f>SUM(G19:G20)</f>
        <v>0</v>
      </c>
      <c r="H18" s="19">
        <f t="shared" ref="H18:I18" si="9">SUM(H19:H20)</f>
        <v>27688.05</v>
      </c>
      <c r="I18" s="19" t="e">
        <f t="shared" si="9"/>
        <v>#REF!</v>
      </c>
      <c r="J18" s="14">
        <f t="shared" si="2"/>
        <v>0</v>
      </c>
    </row>
    <row r="19" spans="1:10" hidden="1" x14ac:dyDescent="0.2">
      <c r="A19" s="11" t="s">
        <v>32</v>
      </c>
      <c r="B19" s="12" t="s">
        <v>33</v>
      </c>
      <c r="C19" s="13">
        <v>0</v>
      </c>
      <c r="D19" s="13">
        <v>0</v>
      </c>
      <c r="E19" s="13">
        <v>0</v>
      </c>
      <c r="F19" s="13">
        <f t="shared" ref="F19:F20" si="10">SUM(C19:E19)</f>
        <v>0</v>
      </c>
      <c r="G19" s="13">
        <v>0</v>
      </c>
      <c r="H19" s="13">
        <v>0</v>
      </c>
      <c r="I19" s="13" t="e">
        <f>+G19+#REF!+H19</f>
        <v>#REF!</v>
      </c>
      <c r="J19" s="14">
        <f t="shared" si="2"/>
        <v>0</v>
      </c>
    </row>
    <row r="20" spans="1:10" x14ac:dyDescent="0.2">
      <c r="A20" s="11" t="s">
        <v>34</v>
      </c>
      <c r="B20" s="12" t="s">
        <v>35</v>
      </c>
      <c r="C20" s="13">
        <v>0</v>
      </c>
      <c r="D20" s="13">
        <v>272814.40999999997</v>
      </c>
      <c r="E20" s="13"/>
      <c r="F20" s="13">
        <f t="shared" si="10"/>
        <v>272814.40999999997</v>
      </c>
      <c r="G20" s="13">
        <v>0</v>
      </c>
      <c r="H20" s="13">
        <v>27688.05</v>
      </c>
      <c r="I20" s="13">
        <f>SUM(G20:H20)</f>
        <v>27688.05</v>
      </c>
      <c r="J20" s="14">
        <f t="shared" si="2"/>
        <v>0</v>
      </c>
    </row>
    <row r="21" spans="1:10" ht="16.5" x14ac:dyDescent="0.3">
      <c r="A21" s="17" t="s">
        <v>36</v>
      </c>
      <c r="B21" s="18" t="s">
        <v>37</v>
      </c>
      <c r="C21" s="19">
        <f>SUM(C22:C27)</f>
        <v>34500</v>
      </c>
      <c r="D21" s="19">
        <f t="shared" ref="D21:F21" si="11">SUM(D22:D27)</f>
        <v>226472.92</v>
      </c>
      <c r="E21" s="19">
        <f t="shared" si="11"/>
        <v>175262.5</v>
      </c>
      <c r="F21" s="19">
        <f t="shared" si="11"/>
        <v>436235.42000000004</v>
      </c>
      <c r="G21" s="19">
        <f>SUM(G22:G27)</f>
        <v>103500</v>
      </c>
      <c r="H21" s="19">
        <f t="shared" ref="H21:I21" si="12">SUM(H22:H27)</f>
        <v>431712.5</v>
      </c>
      <c r="I21" s="19">
        <f t="shared" si="12"/>
        <v>535212.5</v>
      </c>
      <c r="J21" s="14">
        <f t="shared" si="2"/>
        <v>0</v>
      </c>
    </row>
    <row r="22" spans="1:10" x14ac:dyDescent="0.2">
      <c r="A22" s="11" t="s">
        <v>38</v>
      </c>
      <c r="B22" s="12" t="s">
        <v>39</v>
      </c>
      <c r="D22" s="21">
        <v>226472.92</v>
      </c>
      <c r="E22" s="22"/>
      <c r="F22" s="13">
        <f t="shared" ref="F22:F27" si="13">SUM(C22:E22)</f>
        <v>226472.92</v>
      </c>
      <c r="H22" s="22">
        <f>193096+63354</f>
        <v>256450</v>
      </c>
      <c r="I22" s="13">
        <f t="shared" ref="I22:I27" si="14">SUM(G22:H22)</f>
        <v>256450</v>
      </c>
      <c r="J22" s="14">
        <f t="shared" si="2"/>
        <v>0</v>
      </c>
    </row>
    <row r="23" spans="1:10" hidden="1" x14ac:dyDescent="0.2">
      <c r="A23" s="11" t="s">
        <v>40</v>
      </c>
      <c r="B23" s="12" t="s">
        <v>41</v>
      </c>
      <c r="C23" s="13">
        <v>0</v>
      </c>
      <c r="D23" s="13"/>
      <c r="E23" s="13"/>
      <c r="F23" s="13">
        <f t="shared" si="13"/>
        <v>0</v>
      </c>
      <c r="G23" s="13">
        <v>0</v>
      </c>
      <c r="H23" s="13"/>
      <c r="I23" s="13">
        <f t="shared" si="14"/>
        <v>0</v>
      </c>
      <c r="J23" s="14">
        <f t="shared" si="2"/>
        <v>0</v>
      </c>
    </row>
    <row r="24" spans="1:10" x14ac:dyDescent="0.2">
      <c r="A24" s="11" t="s">
        <v>42</v>
      </c>
      <c r="B24" s="12" t="s">
        <v>43</v>
      </c>
      <c r="C24" s="13">
        <v>34500</v>
      </c>
      <c r="D24" s="13"/>
      <c r="E24" s="13">
        <v>175262.5</v>
      </c>
      <c r="F24" s="13">
        <f t="shared" si="13"/>
        <v>209762.5</v>
      </c>
      <c r="G24" s="13">
        <f>34500+34500+34500</f>
        <v>103500</v>
      </c>
      <c r="H24" s="13">
        <v>175262.5</v>
      </c>
      <c r="I24" s="13">
        <f t="shared" si="14"/>
        <v>278762.5</v>
      </c>
      <c r="J24" s="14">
        <f t="shared" si="2"/>
        <v>0</v>
      </c>
    </row>
    <row r="25" spans="1:10" hidden="1" x14ac:dyDescent="0.2">
      <c r="A25" s="11" t="s">
        <v>44</v>
      </c>
      <c r="B25" s="12" t="s">
        <v>45</v>
      </c>
      <c r="C25" s="13"/>
      <c r="D25" s="13">
        <v>0</v>
      </c>
      <c r="E25" s="13"/>
      <c r="F25" s="13">
        <f t="shared" si="13"/>
        <v>0</v>
      </c>
      <c r="G25" s="13"/>
      <c r="H25" s="13"/>
      <c r="I25" s="13">
        <f t="shared" si="14"/>
        <v>0</v>
      </c>
      <c r="J25" s="14">
        <f t="shared" si="2"/>
        <v>0</v>
      </c>
    </row>
    <row r="26" spans="1:10" hidden="1" x14ac:dyDescent="0.2">
      <c r="A26" s="11" t="s">
        <v>46</v>
      </c>
      <c r="B26" s="12" t="s">
        <v>47</v>
      </c>
      <c r="C26" s="13"/>
      <c r="D26" s="13"/>
      <c r="E26" s="13"/>
      <c r="F26" s="13">
        <f t="shared" si="13"/>
        <v>0</v>
      </c>
      <c r="G26" s="13"/>
      <c r="H26" s="13"/>
      <c r="I26" s="13">
        <f t="shared" si="14"/>
        <v>0</v>
      </c>
      <c r="J26" s="14">
        <f t="shared" si="2"/>
        <v>0</v>
      </c>
    </row>
    <row r="27" spans="1:10" hidden="1" x14ac:dyDescent="0.2">
      <c r="A27" s="11" t="s">
        <v>48</v>
      </c>
      <c r="B27" s="12" t="s">
        <v>49</v>
      </c>
      <c r="C27" s="13"/>
      <c r="D27" s="13"/>
      <c r="E27" s="13"/>
      <c r="F27" s="13">
        <f t="shared" si="13"/>
        <v>0</v>
      </c>
      <c r="G27" s="13"/>
      <c r="H27" s="13"/>
      <c r="I27" s="13">
        <f t="shared" si="14"/>
        <v>0</v>
      </c>
      <c r="J27" s="14">
        <f t="shared" si="2"/>
        <v>0</v>
      </c>
    </row>
    <row r="28" spans="1:10" ht="16.5" hidden="1" x14ac:dyDescent="0.3">
      <c r="A28" s="17" t="s">
        <v>50</v>
      </c>
      <c r="B28" s="18" t="s">
        <v>51</v>
      </c>
      <c r="C28" s="19">
        <f>SUM(C29)</f>
        <v>0</v>
      </c>
      <c r="D28" s="19">
        <f t="shared" ref="D28:F28" si="15">SUM(D29)</f>
        <v>0</v>
      </c>
      <c r="E28" s="19">
        <f t="shared" si="15"/>
        <v>0</v>
      </c>
      <c r="F28" s="19">
        <f t="shared" si="15"/>
        <v>0</v>
      </c>
      <c r="G28" s="19">
        <f>SUM(G29)</f>
        <v>0</v>
      </c>
      <c r="H28" s="19">
        <f t="shared" ref="H28:I28" si="16">SUM(H29)</f>
        <v>0</v>
      </c>
      <c r="I28" s="19" t="e">
        <f t="shared" si="16"/>
        <v>#REF!</v>
      </c>
      <c r="J28" s="14">
        <f t="shared" si="2"/>
        <v>0</v>
      </c>
    </row>
    <row r="29" spans="1:10" hidden="1" x14ac:dyDescent="0.2">
      <c r="A29" s="11" t="s">
        <v>52</v>
      </c>
      <c r="B29" s="12" t="s">
        <v>53</v>
      </c>
      <c r="C29" s="13"/>
      <c r="D29" s="13">
        <v>0</v>
      </c>
      <c r="E29" s="13">
        <v>0</v>
      </c>
      <c r="F29" s="13">
        <f>SUM(C29:E29)</f>
        <v>0</v>
      </c>
      <c r="G29" s="13"/>
      <c r="H29" s="13">
        <v>0</v>
      </c>
      <c r="I29" s="13" t="e">
        <f>+G29+#REF!+H29</f>
        <v>#REF!</v>
      </c>
      <c r="J29" s="14">
        <f t="shared" si="2"/>
        <v>0</v>
      </c>
    </row>
    <row r="30" spans="1:10" ht="16.5" x14ac:dyDescent="0.3">
      <c r="A30" s="17" t="s">
        <v>54</v>
      </c>
      <c r="B30" s="18" t="s">
        <v>55</v>
      </c>
      <c r="C30" s="19">
        <f>SUM(C31:C33)</f>
        <v>3317257.5</v>
      </c>
      <c r="D30" s="19">
        <f t="shared" ref="D30:F30" si="17">SUM(D31:D33)</f>
        <v>1332988.33</v>
      </c>
      <c r="E30" s="19">
        <f t="shared" si="17"/>
        <v>1058262.7</v>
      </c>
      <c r="F30" s="19">
        <f t="shared" si="17"/>
        <v>5708508.5300000003</v>
      </c>
      <c r="G30" s="19">
        <f>SUM(G31:G33)</f>
        <v>9946332.5300000012</v>
      </c>
      <c r="H30" s="19">
        <f t="shared" ref="H30:I30" si="18">SUM(H31:H33)</f>
        <v>3049249.48</v>
      </c>
      <c r="I30" s="19">
        <f t="shared" si="18"/>
        <v>12995582.01</v>
      </c>
      <c r="J30" s="14">
        <f t="shared" si="2"/>
        <v>0</v>
      </c>
    </row>
    <row r="31" spans="1:10" x14ac:dyDescent="0.2">
      <c r="A31" s="23" t="s">
        <v>56</v>
      </c>
      <c r="B31" s="12" t="s">
        <v>57</v>
      </c>
      <c r="C31" s="13">
        <v>1537782.4</v>
      </c>
      <c r="D31" s="13">
        <v>632950.77</v>
      </c>
      <c r="E31" s="24">
        <v>494418.85</v>
      </c>
      <c r="F31" s="13">
        <f t="shared" ref="F31:F33" si="19">SUM(C31:E31)</f>
        <v>2665152.02</v>
      </c>
      <c r="G31" s="13">
        <f>1536346.99+1536052.5+1537782.4</f>
        <v>4610181.8900000006</v>
      </c>
      <c r="H31" s="24">
        <f>456903.3+471525.24+494418.85</f>
        <v>1422847.3900000001</v>
      </c>
      <c r="I31" s="13">
        <f>SUM(G31:H31)</f>
        <v>6033029.2800000012</v>
      </c>
      <c r="J31" s="14">
        <f t="shared" si="2"/>
        <v>0</v>
      </c>
    </row>
    <row r="32" spans="1:10" x14ac:dyDescent="0.2">
      <c r="A32" s="23" t="s">
        <v>58</v>
      </c>
      <c r="B32" s="12" t="s">
        <v>59</v>
      </c>
      <c r="C32" s="13">
        <v>1548350.6</v>
      </c>
      <c r="D32" s="13">
        <v>609255</v>
      </c>
      <c r="E32" s="24">
        <v>495116.19</v>
      </c>
      <c r="F32" s="13">
        <f t="shared" si="19"/>
        <v>2652721.79</v>
      </c>
      <c r="G32" s="13">
        <f>1546913.99+1546618.5+1548350.6</f>
        <v>4641883.09</v>
      </c>
      <c r="H32" s="24">
        <f>457547.72+472190.29+495116.19</f>
        <v>1424854.2</v>
      </c>
      <c r="I32" s="13">
        <f>SUM(G32:H32)</f>
        <v>6066737.29</v>
      </c>
      <c r="J32" s="14">
        <f t="shared" si="2"/>
        <v>0</v>
      </c>
    </row>
    <row r="33" spans="1:12" ht="13.5" thickBot="1" x14ac:dyDescent="0.25">
      <c r="A33" s="23" t="s">
        <v>60</v>
      </c>
      <c r="B33" s="12" t="s">
        <v>61</v>
      </c>
      <c r="C33" s="13">
        <v>231124.5</v>
      </c>
      <c r="D33" s="13">
        <v>90782.56</v>
      </c>
      <c r="E33" s="24">
        <v>68727.66</v>
      </c>
      <c r="F33" s="13">
        <f t="shared" si="19"/>
        <v>390634.72</v>
      </c>
      <c r="G33" s="13">
        <f>231399.99+231743.06+231124.5</f>
        <v>694267.55</v>
      </c>
      <c r="H33" s="24">
        <f>65475.49+67354.74+68717.66</f>
        <v>201547.89</v>
      </c>
      <c r="I33" s="13">
        <f>SUM(G33:H33)</f>
        <v>895815.44000000006</v>
      </c>
      <c r="J33" s="14">
        <f t="shared" si="2"/>
        <v>0</v>
      </c>
    </row>
    <row r="34" spans="1:12" ht="16.5" thickBot="1" x14ac:dyDescent="0.3">
      <c r="A34" s="5">
        <v>2.2000000000000002</v>
      </c>
      <c r="B34" s="6" t="s">
        <v>62</v>
      </c>
      <c r="C34" s="7">
        <f>+C35+C42+C45+C48+C53+C62+C67+C82+C98</f>
        <v>10907021.73</v>
      </c>
      <c r="D34" s="7">
        <f>+D35+D42+D45+D48+D53+D62+D67+D82+D98</f>
        <v>96495463.519999996</v>
      </c>
      <c r="E34" s="7">
        <f>+E35+E42+E45+E48+E53+E62+E67+E82+E98</f>
        <v>5768565.2500000009</v>
      </c>
      <c r="F34" s="7">
        <f>+F35+F42+F45+F48+F53+F62+F67+F82+F98</f>
        <v>113171050.49999997</v>
      </c>
      <c r="G34" s="7">
        <f>+G35+G42+G45+G48+G53+G61+G66+G79+G95</f>
        <v>27584629.579999998</v>
      </c>
      <c r="H34" s="7">
        <f>+H35+H42+H45+H48+H53+H61+H66+H79+H95</f>
        <v>16680471.02</v>
      </c>
      <c r="I34" s="7">
        <f>+I35+I42+I45+I48+I53+I61+I66+I79+I95</f>
        <v>44265100.599999994</v>
      </c>
      <c r="J34" s="14">
        <f t="shared" si="2"/>
        <v>0</v>
      </c>
    </row>
    <row r="35" spans="1:12" ht="16.5" x14ac:dyDescent="0.3">
      <c r="A35" s="8" t="s">
        <v>63</v>
      </c>
      <c r="B35" s="9" t="s">
        <v>64</v>
      </c>
      <c r="C35" s="25">
        <f>SUM(C36:C41)</f>
        <v>4771283.4000000004</v>
      </c>
      <c r="D35" s="25">
        <f t="shared" ref="D35:F35" si="20">SUM(D36:D41)</f>
        <v>2794915.89</v>
      </c>
      <c r="E35" s="25">
        <f t="shared" si="20"/>
        <v>2536671.6</v>
      </c>
      <c r="F35" s="25">
        <f t="shared" si="20"/>
        <v>10102870.889999999</v>
      </c>
      <c r="G35" s="25">
        <f>SUM(G36:G41)</f>
        <v>9805095.8999999985</v>
      </c>
      <c r="H35" s="25">
        <f t="shared" ref="H35:I35" si="21">SUM(H36:H41)</f>
        <v>6680622.9500000011</v>
      </c>
      <c r="I35" s="25">
        <f t="shared" si="21"/>
        <v>16485718.850000001</v>
      </c>
      <c r="J35" s="14">
        <f t="shared" si="2"/>
        <v>0</v>
      </c>
    </row>
    <row r="36" spans="1:12" x14ac:dyDescent="0.2">
      <c r="A36" s="23" t="s">
        <v>65</v>
      </c>
      <c r="B36" s="12" t="s">
        <v>66</v>
      </c>
      <c r="C36" s="13">
        <v>1407488.3</v>
      </c>
      <c r="D36" s="13">
        <v>708335.66</v>
      </c>
      <c r="E36" s="13">
        <v>324964.57</v>
      </c>
      <c r="F36" s="13">
        <f t="shared" ref="F36:F41" si="22">SUM(C36:E36)</f>
        <v>2440788.5299999998</v>
      </c>
      <c r="G36" s="13">
        <f>1389100+1407488.3</f>
        <v>2796588.3</v>
      </c>
      <c r="H36" s="13">
        <f>311882.72+324964.57</f>
        <v>636847.29</v>
      </c>
      <c r="I36" s="13">
        <f t="shared" ref="I36:I41" si="23">SUM(G36:H36)</f>
        <v>3433435.59</v>
      </c>
      <c r="J36" s="14">
        <f t="shared" si="2"/>
        <v>0</v>
      </c>
    </row>
    <row r="37" spans="1:12" x14ac:dyDescent="0.2">
      <c r="A37" s="23" t="s">
        <v>67</v>
      </c>
      <c r="B37" s="12" t="s">
        <v>68</v>
      </c>
      <c r="C37" s="13">
        <v>0</v>
      </c>
      <c r="D37" s="13">
        <v>3678</v>
      </c>
      <c r="E37" s="13"/>
      <c r="F37" s="13">
        <f t="shared" si="22"/>
        <v>3678</v>
      </c>
      <c r="G37" s="13">
        <v>0</v>
      </c>
      <c r="H37" s="13"/>
      <c r="I37" s="13">
        <f t="shared" si="23"/>
        <v>0</v>
      </c>
      <c r="J37" s="14">
        <f t="shared" si="2"/>
        <v>0</v>
      </c>
    </row>
    <row r="38" spans="1:12" x14ac:dyDescent="0.2">
      <c r="A38" s="23" t="s">
        <v>69</v>
      </c>
      <c r="B38" s="12" t="s">
        <v>70</v>
      </c>
      <c r="C38" s="26">
        <v>3363795.1</v>
      </c>
      <c r="D38" s="13">
        <v>831727.93</v>
      </c>
      <c r="E38" s="24">
        <v>1341927.56</v>
      </c>
      <c r="F38" s="13">
        <f t="shared" si="22"/>
        <v>5537450.5899999999</v>
      </c>
      <c r="G38" s="26">
        <f>3644712.5+3363795.1</f>
        <v>7008507.5999999996</v>
      </c>
      <c r="H38" s="24">
        <f>603319.27+1543731.72+1341927.56</f>
        <v>3488978.5500000003</v>
      </c>
      <c r="I38" s="13">
        <f t="shared" si="23"/>
        <v>10497486.15</v>
      </c>
      <c r="J38" s="14">
        <f t="shared" si="2"/>
        <v>0</v>
      </c>
    </row>
    <row r="39" spans="1:12" x14ac:dyDescent="0.2">
      <c r="A39" s="23" t="s">
        <v>71</v>
      </c>
      <c r="B39" s="12" t="s">
        <v>72</v>
      </c>
      <c r="C39" s="13">
        <v>0</v>
      </c>
      <c r="D39" s="13">
        <v>1164948.7</v>
      </c>
      <c r="E39" s="24">
        <v>863279.47</v>
      </c>
      <c r="F39" s="13">
        <f t="shared" si="22"/>
        <v>2028228.17</v>
      </c>
      <c r="G39" s="13">
        <v>0</v>
      </c>
      <c r="H39" s="24">
        <f>792246.59+886895.05+863279.47</f>
        <v>2542421.1100000003</v>
      </c>
      <c r="I39" s="13">
        <f t="shared" si="23"/>
        <v>2542421.1100000003</v>
      </c>
      <c r="J39" s="14">
        <f t="shared" si="2"/>
        <v>0</v>
      </c>
    </row>
    <row r="40" spans="1:12" x14ac:dyDescent="0.2">
      <c r="A40" s="23" t="s">
        <v>73</v>
      </c>
      <c r="B40" s="12" t="s">
        <v>74</v>
      </c>
      <c r="C40" s="13"/>
      <c r="D40" s="13">
        <v>19091.599999999999</v>
      </c>
      <c r="E40" s="24">
        <v>5600</v>
      </c>
      <c r="F40" s="13">
        <f t="shared" si="22"/>
        <v>24691.599999999999</v>
      </c>
      <c r="G40" s="13"/>
      <c r="H40" s="24">
        <f>3438+638+5600</f>
        <v>9676</v>
      </c>
      <c r="I40" s="13">
        <f t="shared" si="23"/>
        <v>9676</v>
      </c>
      <c r="J40" s="14">
        <f t="shared" si="2"/>
        <v>0</v>
      </c>
    </row>
    <row r="41" spans="1:12" x14ac:dyDescent="0.2">
      <c r="A41" s="23" t="s">
        <v>75</v>
      </c>
      <c r="B41" s="12" t="s">
        <v>76</v>
      </c>
      <c r="C41" s="13"/>
      <c r="D41" s="13">
        <v>67134</v>
      </c>
      <c r="E41" s="24">
        <v>900</v>
      </c>
      <c r="F41" s="13">
        <f t="shared" si="22"/>
        <v>68034</v>
      </c>
      <c r="G41" s="13"/>
      <c r="H41" s="24">
        <f>900+900+900</f>
        <v>2700</v>
      </c>
      <c r="I41" s="13">
        <f t="shared" si="23"/>
        <v>2700</v>
      </c>
      <c r="J41" s="14">
        <f t="shared" si="2"/>
        <v>0</v>
      </c>
    </row>
    <row r="42" spans="1:12" ht="16.5" x14ac:dyDescent="0.3">
      <c r="A42" s="17" t="s">
        <v>77</v>
      </c>
      <c r="B42" s="18" t="s">
        <v>78</v>
      </c>
      <c r="C42" s="19">
        <f>SUM(C43:C44)</f>
        <v>0</v>
      </c>
      <c r="D42" s="19">
        <f t="shared" ref="D42:F42" si="24">SUM(D43:D44)</f>
        <v>1177536.8500000001</v>
      </c>
      <c r="E42" s="19">
        <f t="shared" si="24"/>
        <v>51987.93</v>
      </c>
      <c r="F42" s="19">
        <f t="shared" si="24"/>
        <v>1229524.78</v>
      </c>
      <c r="G42" s="19">
        <f>SUM(G43:G44)</f>
        <v>0</v>
      </c>
      <c r="H42" s="19">
        <f t="shared" ref="H42:I42" si="25">SUM(H43:H44)</f>
        <v>834227.92999999993</v>
      </c>
      <c r="I42" s="19">
        <f t="shared" si="25"/>
        <v>834227.92999999993</v>
      </c>
      <c r="J42" s="14">
        <f t="shared" si="2"/>
        <v>0</v>
      </c>
    </row>
    <row r="43" spans="1:12" x14ac:dyDescent="0.2">
      <c r="A43" s="27" t="s">
        <v>79</v>
      </c>
      <c r="B43" s="12" t="s">
        <v>80</v>
      </c>
      <c r="C43" s="13"/>
      <c r="D43" s="13">
        <v>5000</v>
      </c>
      <c r="E43" s="24"/>
      <c r="F43" s="13">
        <f t="shared" ref="F43:F44" si="26">SUM(C43:E43)</f>
        <v>5000</v>
      </c>
      <c r="G43" s="13"/>
      <c r="H43" s="24">
        <v>525100</v>
      </c>
      <c r="I43" s="13">
        <f>SUM(G43:H43)</f>
        <v>525100</v>
      </c>
      <c r="J43" s="14">
        <f t="shared" si="2"/>
        <v>0</v>
      </c>
    </row>
    <row r="44" spans="1:12" ht="15" x14ac:dyDescent="0.25">
      <c r="A44" s="27" t="s">
        <v>81</v>
      </c>
      <c r="B44" s="12" t="s">
        <v>82</v>
      </c>
      <c r="C44" s="13"/>
      <c r="D44" s="28">
        <v>1172536.8500000001</v>
      </c>
      <c r="E44" s="24">
        <v>51987.93</v>
      </c>
      <c r="F44" s="13">
        <f t="shared" si="26"/>
        <v>1224524.78</v>
      </c>
      <c r="G44" s="13"/>
      <c r="H44" s="24">
        <f>8050+6472+242618+51987.93</f>
        <v>309127.93</v>
      </c>
      <c r="I44" s="13">
        <f>SUM(G44:H44)</f>
        <v>309127.93</v>
      </c>
      <c r="J44" s="14">
        <f t="shared" si="2"/>
        <v>0</v>
      </c>
    </row>
    <row r="45" spans="1:12" ht="16.5" x14ac:dyDescent="0.3">
      <c r="A45" s="17" t="s">
        <v>83</v>
      </c>
      <c r="B45" s="18" t="s">
        <v>84</v>
      </c>
      <c r="C45" s="19">
        <f>SUM(C46:C47)</f>
        <v>0</v>
      </c>
      <c r="D45" s="19">
        <f t="shared" ref="D45:F45" si="27">SUM(D46:D47)</f>
        <v>2249931.54</v>
      </c>
      <c r="E45" s="19">
        <f t="shared" si="27"/>
        <v>652812.19999999995</v>
      </c>
      <c r="F45" s="19">
        <f t="shared" si="27"/>
        <v>2902743.74</v>
      </c>
      <c r="G45" s="19">
        <f>SUM(G46:G47)</f>
        <v>0</v>
      </c>
      <c r="H45" s="19">
        <f t="shared" ref="H45:I45" si="28">SUM(H46:H47)</f>
        <v>1976892.2</v>
      </c>
      <c r="I45" s="19">
        <f t="shared" si="28"/>
        <v>1976892.2</v>
      </c>
      <c r="J45" s="14">
        <f t="shared" si="2"/>
        <v>0</v>
      </c>
    </row>
    <row r="46" spans="1:12" ht="15" x14ac:dyDescent="0.25">
      <c r="A46" s="23" t="s">
        <v>85</v>
      </c>
      <c r="B46" s="12" t="s">
        <v>86</v>
      </c>
      <c r="C46" s="13"/>
      <c r="D46" s="28">
        <v>2249931.54</v>
      </c>
      <c r="E46" s="13">
        <v>652812.19999999995</v>
      </c>
      <c r="F46" s="13">
        <f t="shared" ref="F46:F47" si="29">SUM(C46:E46)</f>
        <v>2902743.74</v>
      </c>
      <c r="G46" s="13"/>
      <c r="H46" s="13">
        <f>894460+429620+652812.2</f>
        <v>1976892.2</v>
      </c>
      <c r="I46" s="13">
        <f>SUM(G46:H46)</f>
        <v>1976892.2</v>
      </c>
      <c r="J46" s="14">
        <f t="shared" si="2"/>
        <v>0</v>
      </c>
      <c r="K46" s="29"/>
    </row>
    <row r="47" spans="1:12" hidden="1" x14ac:dyDescent="0.2">
      <c r="A47" s="23" t="s">
        <v>87</v>
      </c>
      <c r="B47" s="12" t="s">
        <v>88</v>
      </c>
      <c r="C47" s="13"/>
      <c r="D47" s="13"/>
      <c r="E47" s="13">
        <v>0</v>
      </c>
      <c r="F47" s="13">
        <f t="shared" si="29"/>
        <v>0</v>
      </c>
      <c r="G47" s="13"/>
      <c r="H47" s="13">
        <v>0</v>
      </c>
      <c r="I47" s="13"/>
      <c r="J47" s="14">
        <f t="shared" si="2"/>
        <v>0</v>
      </c>
    </row>
    <row r="48" spans="1:12" ht="16.5" x14ac:dyDescent="0.3">
      <c r="A48" s="17" t="s">
        <v>89</v>
      </c>
      <c r="B48" s="18" t="s">
        <v>90</v>
      </c>
      <c r="C48" s="19">
        <f>SUM(C49:C52)</f>
        <v>0</v>
      </c>
      <c r="D48" s="19">
        <f t="shared" ref="D48:F48" si="30">SUM(D49:D52)</f>
        <v>67855846.149999991</v>
      </c>
      <c r="E48" s="19">
        <f t="shared" si="30"/>
        <v>285118.36</v>
      </c>
      <c r="F48" s="19">
        <f t="shared" si="30"/>
        <v>68140964.50999999</v>
      </c>
      <c r="G48" s="19">
        <f>SUM(G49:G52)</f>
        <v>0</v>
      </c>
      <c r="H48" s="19">
        <f t="shared" ref="H48:I48" si="31">SUM(H49:H52)</f>
        <v>470764.74</v>
      </c>
      <c r="I48" s="19">
        <f t="shared" si="31"/>
        <v>470764.74</v>
      </c>
      <c r="J48" s="14">
        <f t="shared" si="2"/>
        <v>0</v>
      </c>
      <c r="K48" s="29"/>
      <c r="L48" s="15"/>
    </row>
    <row r="49" spans="1:11" x14ac:dyDescent="0.2">
      <c r="A49" s="27" t="s">
        <v>91</v>
      </c>
      <c r="B49" s="12" t="s">
        <v>92</v>
      </c>
      <c r="C49" s="13"/>
      <c r="D49" s="13">
        <v>67750166.409999996</v>
      </c>
      <c r="E49" s="13">
        <v>281182.36</v>
      </c>
      <c r="F49" s="13">
        <f t="shared" ref="F49:F52" si="32">SUM(C49:E49)</f>
        <v>68031348.769999996</v>
      </c>
      <c r="G49" s="13"/>
      <c r="H49" s="13">
        <f>132884.8+37746.58+281182.36</f>
        <v>451813.74</v>
      </c>
      <c r="I49" s="13">
        <f>SUM(G49:H49)</f>
        <v>451813.74</v>
      </c>
      <c r="J49" s="14">
        <f t="shared" si="2"/>
        <v>0</v>
      </c>
      <c r="K49" s="15"/>
    </row>
    <row r="50" spans="1:11" x14ac:dyDescent="0.2">
      <c r="A50" s="27" t="s">
        <v>93</v>
      </c>
      <c r="B50" s="12" t="s">
        <v>94</v>
      </c>
      <c r="C50" s="13"/>
      <c r="D50" s="13">
        <v>49321.74</v>
      </c>
      <c r="E50" s="13"/>
      <c r="F50" s="13">
        <f t="shared" si="32"/>
        <v>49321.74</v>
      </c>
      <c r="G50" s="13"/>
      <c r="H50" s="13"/>
      <c r="I50" s="13">
        <f>SUM(G50:H50)</f>
        <v>0</v>
      </c>
      <c r="J50" s="14">
        <f t="shared" si="2"/>
        <v>0</v>
      </c>
      <c r="K50" s="14"/>
    </row>
    <row r="51" spans="1:11" hidden="1" x14ac:dyDescent="0.2">
      <c r="A51" s="27" t="s">
        <v>95</v>
      </c>
      <c r="B51" s="12" t="s">
        <v>96</v>
      </c>
      <c r="C51" s="13"/>
      <c r="D51" s="13"/>
      <c r="E51" s="13"/>
      <c r="F51" s="13">
        <f t="shared" si="32"/>
        <v>0</v>
      </c>
      <c r="G51" s="13"/>
      <c r="H51" s="13"/>
      <c r="I51" s="13">
        <f>SUM(G51:H51)</f>
        <v>0</v>
      </c>
      <c r="J51" s="14">
        <f t="shared" si="2"/>
        <v>0</v>
      </c>
      <c r="K51" s="14"/>
    </row>
    <row r="52" spans="1:11" x14ac:dyDescent="0.2">
      <c r="A52" s="27" t="s">
        <v>97</v>
      </c>
      <c r="B52" s="12" t="s">
        <v>98</v>
      </c>
      <c r="C52" s="13"/>
      <c r="D52" s="13">
        <f>3873+52485</f>
        <v>56358</v>
      </c>
      <c r="E52" s="13">
        <v>3936</v>
      </c>
      <c r="F52" s="13">
        <f t="shared" si="32"/>
        <v>60294</v>
      </c>
      <c r="G52" s="13"/>
      <c r="H52" s="13">
        <f>7593+7422+3936</f>
        <v>18951</v>
      </c>
      <c r="I52" s="13">
        <f>SUM(G52:H52)</f>
        <v>18951</v>
      </c>
      <c r="J52" s="14">
        <f t="shared" si="2"/>
        <v>0</v>
      </c>
    </row>
    <row r="53" spans="1:11" ht="16.5" x14ac:dyDescent="0.3">
      <c r="A53" s="17" t="s">
        <v>99</v>
      </c>
      <c r="B53" s="18" t="s">
        <v>100</v>
      </c>
      <c r="C53" s="19">
        <f>SUM(C54:C61)</f>
        <v>802405</v>
      </c>
      <c r="D53" s="19">
        <f t="shared" ref="D53:F53" si="33">SUM(D54:D61)</f>
        <v>11194343.419999998</v>
      </c>
      <c r="E53" s="19">
        <f t="shared" si="33"/>
        <v>880079.79</v>
      </c>
      <c r="F53" s="19">
        <f t="shared" si="33"/>
        <v>12876828.209999999</v>
      </c>
      <c r="G53" s="19">
        <f>SUM(G54:G60)</f>
        <v>1779533.69</v>
      </c>
      <c r="H53" s="19">
        <f t="shared" ref="H53" si="34">SUM(H54:H60)</f>
        <v>3406320.31</v>
      </c>
      <c r="I53" s="19">
        <f>SUM(I54:I60)</f>
        <v>5185854</v>
      </c>
      <c r="J53" s="14">
        <f t="shared" si="2"/>
        <v>0</v>
      </c>
      <c r="K53" s="30"/>
    </row>
    <row r="54" spans="1:11" x14ac:dyDescent="0.2">
      <c r="A54" s="27" t="s">
        <v>101</v>
      </c>
      <c r="B54" s="12" t="s">
        <v>102</v>
      </c>
      <c r="C54" s="13">
        <v>802405</v>
      </c>
      <c r="D54" s="13">
        <v>255207.31</v>
      </c>
      <c r="E54" s="13"/>
      <c r="F54" s="13">
        <f t="shared" ref="F54:F61" si="35">SUM(C54:E54)</f>
        <v>1057612.31</v>
      </c>
      <c r="G54" s="13">
        <f>977128.69+802405</f>
        <v>1779533.69</v>
      </c>
      <c r="H54" s="13"/>
      <c r="I54" s="13">
        <f t="shared" ref="I54:I60" si="36">SUM(G54:H54)</f>
        <v>1779533.69</v>
      </c>
      <c r="J54" s="14">
        <f t="shared" si="2"/>
        <v>0</v>
      </c>
    </row>
    <row r="55" spans="1:11" x14ac:dyDescent="0.2">
      <c r="A55" s="27" t="s">
        <v>103</v>
      </c>
      <c r="B55" s="12" t="s">
        <v>104</v>
      </c>
      <c r="C55" s="13"/>
      <c r="D55" s="13">
        <v>225970</v>
      </c>
      <c r="E55" s="13"/>
      <c r="F55" s="13">
        <f t="shared" si="35"/>
        <v>225970</v>
      </c>
      <c r="G55" s="13"/>
      <c r="H55" s="13">
        <v>0</v>
      </c>
      <c r="I55" s="13">
        <f t="shared" si="36"/>
        <v>0</v>
      </c>
      <c r="J55" s="14">
        <f t="shared" si="2"/>
        <v>0</v>
      </c>
      <c r="K55" s="29"/>
    </row>
    <row r="56" spans="1:11" hidden="1" x14ac:dyDescent="0.2">
      <c r="A56" s="27" t="s">
        <v>105</v>
      </c>
      <c r="B56" s="12" t="s">
        <v>106</v>
      </c>
      <c r="C56" s="13"/>
      <c r="D56" s="13"/>
      <c r="E56" s="13">
        <v>0</v>
      </c>
      <c r="F56" s="13">
        <f t="shared" si="35"/>
        <v>0</v>
      </c>
      <c r="G56" s="13"/>
      <c r="H56" s="13"/>
      <c r="I56" s="13">
        <f t="shared" si="36"/>
        <v>0</v>
      </c>
      <c r="J56" s="14">
        <f t="shared" si="2"/>
        <v>0</v>
      </c>
    </row>
    <row r="57" spans="1:11" x14ac:dyDescent="0.2">
      <c r="A57" s="27" t="s">
        <v>107</v>
      </c>
      <c r="B57" s="12" t="s">
        <v>108</v>
      </c>
      <c r="C57" s="13"/>
      <c r="D57" s="13">
        <v>6903</v>
      </c>
      <c r="E57" s="13"/>
      <c r="F57" s="13">
        <f t="shared" si="35"/>
        <v>6903</v>
      </c>
      <c r="G57" s="13"/>
      <c r="H57" s="13"/>
      <c r="I57" s="13">
        <f t="shared" si="36"/>
        <v>0</v>
      </c>
      <c r="J57" s="14">
        <f t="shared" si="2"/>
        <v>0</v>
      </c>
    </row>
    <row r="58" spans="1:11" x14ac:dyDescent="0.2">
      <c r="A58" s="27" t="s">
        <v>109</v>
      </c>
      <c r="B58" s="12" t="s">
        <v>110</v>
      </c>
      <c r="C58" s="13"/>
      <c r="D58" s="13">
        <v>122027.46</v>
      </c>
      <c r="E58" s="13"/>
      <c r="F58" s="13">
        <f t="shared" si="35"/>
        <v>122027.46</v>
      </c>
      <c r="G58" s="13"/>
      <c r="H58" s="13">
        <f>290874.23+706514.81+406562.31</f>
        <v>1403951.35</v>
      </c>
      <c r="I58" s="13">
        <f t="shared" si="36"/>
        <v>1403951.35</v>
      </c>
      <c r="J58" s="14">
        <f t="shared" si="2"/>
        <v>0</v>
      </c>
    </row>
    <row r="59" spans="1:11" x14ac:dyDescent="0.2">
      <c r="A59" s="27" t="s">
        <v>111</v>
      </c>
      <c r="B59" s="12" t="s">
        <v>112</v>
      </c>
      <c r="C59" s="13"/>
      <c r="D59" s="13">
        <v>2093568.95</v>
      </c>
      <c r="E59" s="13">
        <v>406562.31</v>
      </c>
      <c r="F59" s="13">
        <f t="shared" si="35"/>
        <v>2500131.2599999998</v>
      </c>
      <c r="G59" s="13"/>
      <c r="H59" s="13">
        <f>256337.44+1272514.04+473517.48</f>
        <v>2002368.96</v>
      </c>
      <c r="I59" s="13">
        <f t="shared" si="36"/>
        <v>2002368.96</v>
      </c>
      <c r="J59" s="14">
        <f t="shared" si="2"/>
        <v>0</v>
      </c>
    </row>
    <row r="60" spans="1:11" x14ac:dyDescent="0.2">
      <c r="A60" s="27" t="s">
        <v>113</v>
      </c>
      <c r="B60" s="12" t="s">
        <v>114</v>
      </c>
      <c r="C60" s="13"/>
      <c r="D60" s="13">
        <v>8490666.6999999993</v>
      </c>
      <c r="E60" s="13">
        <v>473517.48</v>
      </c>
      <c r="F60" s="13">
        <f t="shared" si="35"/>
        <v>8964184.1799999997</v>
      </c>
      <c r="G60" s="13"/>
      <c r="H60" s="13"/>
      <c r="I60" s="13">
        <f t="shared" si="36"/>
        <v>0</v>
      </c>
      <c r="J60" s="14">
        <f t="shared" si="2"/>
        <v>0</v>
      </c>
    </row>
    <row r="61" spans="1:11" hidden="1" x14ac:dyDescent="0.2">
      <c r="A61" s="23"/>
      <c r="B61" s="12"/>
      <c r="C61" s="13"/>
      <c r="D61" s="13"/>
      <c r="E61" s="13"/>
      <c r="F61" s="13">
        <f t="shared" si="35"/>
        <v>0</v>
      </c>
      <c r="G61" s="19">
        <f>SUM(G62:G65)</f>
        <v>0</v>
      </c>
      <c r="H61" s="19">
        <f t="shared" ref="H61:I61" si="37">SUM(H62:H65)</f>
        <v>0</v>
      </c>
      <c r="I61" s="19">
        <f t="shared" si="37"/>
        <v>0</v>
      </c>
      <c r="J61" s="14">
        <f t="shared" si="2"/>
        <v>0</v>
      </c>
    </row>
    <row r="62" spans="1:11" ht="16.5" x14ac:dyDescent="0.3">
      <c r="A62" s="17" t="s">
        <v>115</v>
      </c>
      <c r="B62" s="18" t="s">
        <v>116</v>
      </c>
      <c r="C62" s="19">
        <f>SUM(C63:C66)</f>
        <v>0</v>
      </c>
      <c r="D62" s="19">
        <f t="shared" ref="D62:F62" si="38">SUM(D63:D66)</f>
        <v>4640640.1300000008</v>
      </c>
      <c r="E62" s="19">
        <f t="shared" si="38"/>
        <v>0</v>
      </c>
      <c r="F62" s="19">
        <f t="shared" si="38"/>
        <v>4640640.1300000008</v>
      </c>
      <c r="G62" s="13"/>
      <c r="H62" s="13"/>
      <c r="I62" s="13">
        <f>SUM(G62:H62)</f>
        <v>0</v>
      </c>
      <c r="J62" s="14">
        <f t="shared" si="2"/>
        <v>0</v>
      </c>
    </row>
    <row r="63" spans="1:11" hidden="1" x14ac:dyDescent="0.2">
      <c r="A63" s="27" t="s">
        <v>117</v>
      </c>
      <c r="B63" s="12" t="s">
        <v>118</v>
      </c>
      <c r="C63" s="13"/>
      <c r="D63" s="13"/>
      <c r="E63" s="13"/>
      <c r="F63" s="13">
        <f t="shared" ref="F63:F66" si="39">SUM(C63:E63)</f>
        <v>0</v>
      </c>
      <c r="G63" s="13">
        <v>0</v>
      </c>
      <c r="H63" s="13"/>
      <c r="I63" s="13">
        <f>SUM(G63:H63)</f>
        <v>0</v>
      </c>
      <c r="J63" s="14">
        <f t="shared" si="2"/>
        <v>0</v>
      </c>
    </row>
    <row r="64" spans="1:11" x14ac:dyDescent="0.2">
      <c r="A64" s="27" t="s">
        <v>119</v>
      </c>
      <c r="B64" s="12" t="s">
        <v>120</v>
      </c>
      <c r="C64" s="13">
        <v>0</v>
      </c>
      <c r="D64" s="13">
        <v>4461552.9000000004</v>
      </c>
      <c r="E64" s="13"/>
      <c r="F64" s="13">
        <f t="shared" si="39"/>
        <v>4461552.9000000004</v>
      </c>
      <c r="G64" s="13"/>
      <c r="H64" s="13"/>
      <c r="I64" s="13">
        <f>SUM(G64:H64)</f>
        <v>0</v>
      </c>
      <c r="J64" s="14">
        <f t="shared" si="2"/>
        <v>0</v>
      </c>
    </row>
    <row r="65" spans="1:10" x14ac:dyDescent="0.2">
      <c r="A65" s="27" t="s">
        <v>121</v>
      </c>
      <c r="B65" s="12" t="s">
        <v>122</v>
      </c>
      <c r="C65" s="13"/>
      <c r="D65" s="13">
        <v>179087.23</v>
      </c>
      <c r="E65" s="13"/>
      <c r="F65" s="13">
        <f t="shared" si="39"/>
        <v>179087.23</v>
      </c>
      <c r="G65" s="13"/>
      <c r="H65" s="13"/>
      <c r="I65" s="13">
        <f>SUM(G65:H65)</f>
        <v>0</v>
      </c>
      <c r="J65" s="14">
        <f t="shared" si="2"/>
        <v>0</v>
      </c>
    </row>
    <row r="66" spans="1:10" hidden="1" x14ac:dyDescent="0.2">
      <c r="A66" s="23"/>
      <c r="B66" s="12"/>
      <c r="C66" s="13"/>
      <c r="D66" s="13"/>
      <c r="E66" s="13"/>
      <c r="F66" s="13">
        <f t="shared" si="39"/>
        <v>0</v>
      </c>
      <c r="G66" s="19">
        <f>SUM(G67:G78)</f>
        <v>0</v>
      </c>
      <c r="H66" s="19">
        <f>SUM(H67:H78)</f>
        <v>1835402.77</v>
      </c>
      <c r="I66" s="19">
        <f t="shared" ref="I66" si="40">SUM(I67:I78)</f>
        <v>1835402.77</v>
      </c>
      <c r="J66" s="14">
        <f t="shared" si="2"/>
        <v>0</v>
      </c>
    </row>
    <row r="67" spans="1:10" ht="16.5" x14ac:dyDescent="0.3">
      <c r="A67" s="17" t="s">
        <v>123</v>
      </c>
      <c r="B67" s="18" t="s">
        <v>124</v>
      </c>
      <c r="C67" s="19">
        <f>SUM(C68:C81)</f>
        <v>0</v>
      </c>
      <c r="D67" s="19">
        <f>SUM(D68:D81)</f>
        <v>4937560.1999999993</v>
      </c>
      <c r="E67" s="19">
        <f>SUM(E68:E81)</f>
        <v>710100.13</v>
      </c>
      <c r="F67" s="19">
        <f>SUM(F68:F81)</f>
        <v>5647660.3300000001</v>
      </c>
      <c r="G67" s="13"/>
      <c r="H67" s="13">
        <f>12676.93+147175.5</f>
        <v>159852.43</v>
      </c>
      <c r="I67" s="13">
        <f t="shared" ref="I67:I78" si="41">SUM(G67:H67)</f>
        <v>159852.43</v>
      </c>
      <c r="J67" s="14">
        <f t="shared" si="2"/>
        <v>0</v>
      </c>
    </row>
    <row r="68" spans="1:10" x14ac:dyDescent="0.2">
      <c r="A68" s="27" t="s">
        <v>125</v>
      </c>
      <c r="B68" s="12" t="s">
        <v>126</v>
      </c>
      <c r="C68" s="13"/>
      <c r="D68" s="13">
        <v>0</v>
      </c>
      <c r="E68" s="13">
        <v>147175.5</v>
      </c>
      <c r="F68" s="13">
        <f t="shared" ref="F68:F81" si="42">SUM(C68:E68)</f>
        <v>147175.5</v>
      </c>
      <c r="G68" s="13"/>
      <c r="H68" s="13">
        <f>321621.34+298565+320417.2</f>
        <v>940603.54</v>
      </c>
      <c r="I68" s="13">
        <f t="shared" si="41"/>
        <v>940603.54</v>
      </c>
      <c r="J68" s="14">
        <f t="shared" si="2"/>
        <v>0</v>
      </c>
    </row>
    <row r="69" spans="1:10" x14ac:dyDescent="0.2">
      <c r="A69" s="27" t="s">
        <v>127</v>
      </c>
      <c r="B69" s="12" t="s">
        <v>128</v>
      </c>
      <c r="C69" s="13"/>
      <c r="D69" s="13">
        <v>2106750.5299999998</v>
      </c>
      <c r="E69" s="13">
        <v>320417.2</v>
      </c>
      <c r="F69" s="13">
        <f t="shared" si="42"/>
        <v>2427167.73</v>
      </c>
      <c r="G69" s="13"/>
      <c r="H69" s="13">
        <v>0</v>
      </c>
      <c r="I69" s="13">
        <f t="shared" si="41"/>
        <v>0</v>
      </c>
      <c r="J69" s="14">
        <f t="shared" si="2"/>
        <v>0</v>
      </c>
    </row>
    <row r="70" spans="1:10" hidden="1" x14ac:dyDescent="0.2">
      <c r="A70" s="27" t="s">
        <v>129</v>
      </c>
      <c r="B70" s="12" t="s">
        <v>130</v>
      </c>
      <c r="C70" s="13"/>
      <c r="D70" s="13"/>
      <c r="E70" s="13"/>
      <c r="F70" s="13">
        <f t="shared" si="42"/>
        <v>0</v>
      </c>
      <c r="G70" s="13"/>
      <c r="H70" s="13"/>
      <c r="I70" s="13">
        <f t="shared" si="41"/>
        <v>0</v>
      </c>
      <c r="J70" s="14">
        <f t="shared" si="2"/>
        <v>0</v>
      </c>
    </row>
    <row r="71" spans="1:10" hidden="1" x14ac:dyDescent="0.2">
      <c r="A71" s="27" t="s">
        <v>131</v>
      </c>
      <c r="B71" s="12" t="s">
        <v>132</v>
      </c>
      <c r="C71" s="13"/>
      <c r="D71" s="13"/>
      <c r="E71" s="13"/>
      <c r="F71" s="13">
        <f t="shared" si="42"/>
        <v>0</v>
      </c>
      <c r="G71" s="13"/>
      <c r="H71" s="13"/>
      <c r="I71" s="13">
        <f t="shared" si="41"/>
        <v>0</v>
      </c>
      <c r="J71" s="14">
        <f t="shared" si="2"/>
        <v>0</v>
      </c>
    </row>
    <row r="72" spans="1:10" hidden="1" x14ac:dyDescent="0.2">
      <c r="A72" s="27" t="s">
        <v>133</v>
      </c>
      <c r="B72" s="12" t="s">
        <v>134</v>
      </c>
      <c r="C72" s="13"/>
      <c r="D72" s="13"/>
      <c r="E72" s="13"/>
      <c r="F72" s="13">
        <f t="shared" si="42"/>
        <v>0</v>
      </c>
      <c r="G72" s="13"/>
      <c r="H72" s="13"/>
      <c r="I72" s="13">
        <f t="shared" si="41"/>
        <v>0</v>
      </c>
      <c r="J72" s="14">
        <f t="shared" si="2"/>
        <v>0</v>
      </c>
    </row>
    <row r="73" spans="1:10" x14ac:dyDescent="0.2">
      <c r="A73" s="27" t="s">
        <v>135</v>
      </c>
      <c r="B73" s="12" t="s">
        <v>136</v>
      </c>
      <c r="C73" s="13"/>
      <c r="D73" s="13">
        <v>193609</v>
      </c>
      <c r="E73" s="13"/>
      <c r="F73" s="13">
        <f t="shared" si="42"/>
        <v>193609</v>
      </c>
      <c r="G73" s="13"/>
      <c r="H73" s="13">
        <f>64838.6+297558.77+31414.69</f>
        <v>393812.06</v>
      </c>
      <c r="I73" s="13">
        <f t="shared" si="41"/>
        <v>393812.06</v>
      </c>
      <c r="J73" s="14">
        <f t="shared" ref="J73:J136" si="43">+C73+D73+E73-F73</f>
        <v>0</v>
      </c>
    </row>
    <row r="74" spans="1:10" x14ac:dyDescent="0.2">
      <c r="A74" s="27" t="s">
        <v>137</v>
      </c>
      <c r="B74" s="12" t="s">
        <v>138</v>
      </c>
      <c r="C74" s="13"/>
      <c r="D74" s="13">
        <v>162457.98000000001</v>
      </c>
      <c r="E74" s="13"/>
      <c r="F74" s="13">
        <f t="shared" si="42"/>
        <v>162457.98000000001</v>
      </c>
      <c r="G74" s="13"/>
      <c r="H74" s="13">
        <v>109042</v>
      </c>
      <c r="I74" s="13">
        <f t="shared" si="41"/>
        <v>109042</v>
      </c>
      <c r="J74" s="14">
        <f t="shared" si="43"/>
        <v>0</v>
      </c>
    </row>
    <row r="75" spans="1:10" x14ac:dyDescent="0.2">
      <c r="A75" s="27" t="s">
        <v>139</v>
      </c>
      <c r="B75" s="12" t="s">
        <v>140</v>
      </c>
      <c r="C75" s="13"/>
      <c r="D75" s="13">
        <v>1472369.67</v>
      </c>
      <c r="E75" s="13"/>
      <c r="F75" s="13">
        <f t="shared" si="42"/>
        <v>1472369.67</v>
      </c>
      <c r="G75" s="13"/>
      <c r="H75" s="13">
        <f>21000+211092.74</f>
        <v>232092.74</v>
      </c>
      <c r="I75" s="13">
        <f t="shared" si="41"/>
        <v>232092.74</v>
      </c>
      <c r="J75" s="14">
        <f t="shared" si="43"/>
        <v>0</v>
      </c>
    </row>
    <row r="76" spans="1:10" x14ac:dyDescent="0.2">
      <c r="A76" s="27" t="s">
        <v>141</v>
      </c>
      <c r="B76" s="12" t="s">
        <v>142</v>
      </c>
      <c r="C76" s="13"/>
      <c r="D76" s="13">
        <v>180942.57</v>
      </c>
      <c r="E76" s="13"/>
      <c r="F76" s="13">
        <f t="shared" si="42"/>
        <v>180942.57</v>
      </c>
      <c r="G76" s="13"/>
      <c r="H76" s="13"/>
      <c r="I76" s="13">
        <f t="shared" si="41"/>
        <v>0</v>
      </c>
      <c r="J76" s="14">
        <f t="shared" si="43"/>
        <v>0</v>
      </c>
    </row>
    <row r="77" spans="1:10" hidden="1" x14ac:dyDescent="0.2">
      <c r="A77" s="27" t="s">
        <v>143</v>
      </c>
      <c r="B77" s="12" t="s">
        <v>144</v>
      </c>
      <c r="C77" s="13"/>
      <c r="D77" s="13"/>
      <c r="E77" s="13"/>
      <c r="F77" s="13">
        <f t="shared" si="42"/>
        <v>0</v>
      </c>
      <c r="G77" s="13"/>
      <c r="H77" s="13"/>
      <c r="I77" s="13">
        <f t="shared" si="41"/>
        <v>0</v>
      </c>
      <c r="J77" s="14">
        <f t="shared" si="43"/>
        <v>0</v>
      </c>
    </row>
    <row r="78" spans="1:10" hidden="1" x14ac:dyDescent="0.2">
      <c r="A78" s="27" t="s">
        <v>145</v>
      </c>
      <c r="B78" s="12" t="s">
        <v>146</v>
      </c>
      <c r="C78" s="13"/>
      <c r="D78" s="13"/>
      <c r="E78" s="13"/>
      <c r="F78" s="13">
        <f t="shared" si="42"/>
        <v>0</v>
      </c>
      <c r="G78" s="13">
        <v>0</v>
      </c>
      <c r="H78" s="13">
        <v>0</v>
      </c>
      <c r="I78" s="13">
        <f t="shared" si="41"/>
        <v>0</v>
      </c>
      <c r="J78" s="14">
        <f t="shared" si="43"/>
        <v>0</v>
      </c>
    </row>
    <row r="79" spans="1:10" x14ac:dyDescent="0.2">
      <c r="A79" s="27" t="s">
        <v>147</v>
      </c>
      <c r="B79" s="12" t="s">
        <v>148</v>
      </c>
      <c r="C79" s="13"/>
      <c r="D79" s="13">
        <v>0</v>
      </c>
      <c r="E79" s="13">
        <v>31414.69</v>
      </c>
      <c r="F79" s="13">
        <f t="shared" si="42"/>
        <v>31414.69</v>
      </c>
      <c r="G79" s="19">
        <f>SUM(G80:G94)</f>
        <v>15999999.99</v>
      </c>
      <c r="H79" s="19">
        <f>SUM(H80:H94)</f>
        <v>1476240.12</v>
      </c>
      <c r="I79" s="19">
        <f t="shared" ref="I79" si="44">SUM(I80:I94)</f>
        <v>17476240.109999999</v>
      </c>
      <c r="J79" s="14">
        <f t="shared" si="43"/>
        <v>0</v>
      </c>
    </row>
    <row r="80" spans="1:10" x14ac:dyDescent="0.2">
      <c r="A80" s="27" t="s">
        <v>149</v>
      </c>
      <c r="B80" s="12" t="s">
        <v>150</v>
      </c>
      <c r="C80" s="13"/>
      <c r="D80" s="13">
        <v>821430.45</v>
      </c>
      <c r="E80" s="13">
        <v>211092.74</v>
      </c>
      <c r="F80" s="13">
        <f t="shared" si="42"/>
        <v>1032523.19</v>
      </c>
      <c r="G80" s="13"/>
      <c r="H80" s="13"/>
      <c r="I80" s="13">
        <f t="shared" ref="I80:I94" si="45">SUM(G80:H80)</f>
        <v>0</v>
      </c>
      <c r="J80" s="14">
        <f t="shared" si="43"/>
        <v>0</v>
      </c>
    </row>
    <row r="81" spans="1:10" hidden="1" x14ac:dyDescent="0.2">
      <c r="A81" s="27" t="s">
        <v>151</v>
      </c>
      <c r="B81" s="12" t="s">
        <v>152</v>
      </c>
      <c r="C81" s="13">
        <v>0</v>
      </c>
      <c r="D81" s="13">
        <v>0</v>
      </c>
      <c r="E81" s="13">
        <v>0</v>
      </c>
      <c r="F81" s="13">
        <f t="shared" si="42"/>
        <v>0</v>
      </c>
      <c r="G81" s="13"/>
      <c r="H81" s="13">
        <f>65894.38+67613.3+74307.98</f>
        <v>207815.65999999997</v>
      </c>
      <c r="I81" s="13">
        <f t="shared" si="45"/>
        <v>207815.65999999997</v>
      </c>
      <c r="J81" s="14">
        <f t="shared" si="43"/>
        <v>0</v>
      </c>
    </row>
    <row r="82" spans="1:10" ht="16.5" x14ac:dyDescent="0.3">
      <c r="A82" s="17" t="s">
        <v>153</v>
      </c>
      <c r="B82" s="18" t="s">
        <v>154</v>
      </c>
      <c r="C82" s="19">
        <f>SUM(C83:C97)</f>
        <v>5333333.33</v>
      </c>
      <c r="D82" s="19">
        <f>SUM(D83:D97)</f>
        <v>1644689.3399999999</v>
      </c>
      <c r="E82" s="19">
        <f>SUM(E83:E97)</f>
        <v>651795.24</v>
      </c>
      <c r="F82" s="19">
        <f t="shared" ref="F82" si="46">SUM(F83:F97)</f>
        <v>7629817.9100000001</v>
      </c>
      <c r="G82" s="13"/>
      <c r="H82" s="13"/>
      <c r="I82" s="13">
        <f t="shared" si="45"/>
        <v>0</v>
      </c>
      <c r="J82" s="14">
        <f t="shared" si="43"/>
        <v>0</v>
      </c>
    </row>
    <row r="83" spans="1:10" hidden="1" x14ac:dyDescent="0.2">
      <c r="A83" s="27" t="s">
        <v>155</v>
      </c>
      <c r="B83" s="12" t="s">
        <v>156</v>
      </c>
      <c r="C83" s="13"/>
      <c r="D83" s="13">
        <v>0</v>
      </c>
      <c r="E83" s="13"/>
      <c r="F83" s="13">
        <f t="shared" ref="F83:F97" si="47">SUM(C83:E83)</f>
        <v>0</v>
      </c>
      <c r="G83" s="13"/>
      <c r="H83" s="13"/>
      <c r="I83" s="13">
        <f t="shared" si="45"/>
        <v>0</v>
      </c>
      <c r="J83" s="14">
        <f t="shared" si="43"/>
        <v>0</v>
      </c>
    </row>
    <row r="84" spans="1:10" x14ac:dyDescent="0.2">
      <c r="A84" s="27" t="s">
        <v>157</v>
      </c>
      <c r="B84" s="12" t="s">
        <v>158</v>
      </c>
      <c r="C84" s="13"/>
      <c r="D84" s="13">
        <v>300</v>
      </c>
      <c r="E84" s="13">
        <v>74307.98</v>
      </c>
      <c r="F84" s="13">
        <f t="shared" si="47"/>
        <v>74607.98</v>
      </c>
      <c r="G84" s="13"/>
      <c r="H84" s="13"/>
      <c r="I84" s="13">
        <f t="shared" si="45"/>
        <v>0</v>
      </c>
      <c r="J84" s="14">
        <f t="shared" si="43"/>
        <v>0</v>
      </c>
    </row>
    <row r="85" spans="1:10" x14ac:dyDescent="0.2">
      <c r="A85" s="27" t="s">
        <v>159</v>
      </c>
      <c r="B85" s="12" t="s">
        <v>160</v>
      </c>
      <c r="C85" s="13"/>
      <c r="D85" s="13">
        <v>1050</v>
      </c>
      <c r="E85" s="13"/>
      <c r="F85" s="13">
        <f t="shared" si="47"/>
        <v>1050</v>
      </c>
      <c r="G85" s="13"/>
      <c r="H85" s="13">
        <f>3197.8+3162.4+2140</f>
        <v>8500.2000000000007</v>
      </c>
      <c r="I85" s="13">
        <f t="shared" si="45"/>
        <v>8500.2000000000007</v>
      </c>
      <c r="J85" s="14">
        <f t="shared" si="43"/>
        <v>0</v>
      </c>
    </row>
    <row r="86" spans="1:10" hidden="1" x14ac:dyDescent="0.2">
      <c r="A86" s="27" t="s">
        <v>161</v>
      </c>
      <c r="B86" s="12" t="s">
        <v>162</v>
      </c>
      <c r="C86" s="13"/>
      <c r="D86" s="13"/>
      <c r="E86" s="13"/>
      <c r="F86" s="13">
        <f t="shared" si="47"/>
        <v>0</v>
      </c>
      <c r="G86" s="13"/>
      <c r="H86" s="13"/>
      <c r="I86" s="13">
        <f t="shared" si="45"/>
        <v>0</v>
      </c>
      <c r="J86" s="14">
        <f t="shared" si="43"/>
        <v>0</v>
      </c>
    </row>
    <row r="87" spans="1:10" hidden="1" x14ac:dyDescent="0.2">
      <c r="A87" s="27" t="s">
        <v>163</v>
      </c>
      <c r="B87" s="12" t="s">
        <v>164</v>
      </c>
      <c r="C87" s="13"/>
      <c r="D87" s="13"/>
      <c r="E87" s="13"/>
      <c r="F87" s="13">
        <f t="shared" si="47"/>
        <v>0</v>
      </c>
      <c r="G87" s="13"/>
      <c r="H87" s="13">
        <f>198900+82700+8500</f>
        <v>290100</v>
      </c>
      <c r="I87" s="13">
        <f t="shared" si="45"/>
        <v>290100</v>
      </c>
      <c r="J87" s="14">
        <f t="shared" si="43"/>
        <v>0</v>
      </c>
    </row>
    <row r="88" spans="1:10" x14ac:dyDescent="0.2">
      <c r="A88" s="27" t="s">
        <v>165</v>
      </c>
      <c r="B88" s="12" t="s">
        <v>166</v>
      </c>
      <c r="C88" s="13"/>
      <c r="D88" s="13"/>
      <c r="E88" s="13">
        <v>2140</v>
      </c>
      <c r="F88" s="13">
        <f t="shared" si="47"/>
        <v>2140</v>
      </c>
      <c r="G88" s="13"/>
      <c r="H88" s="13"/>
      <c r="I88" s="13">
        <f t="shared" si="45"/>
        <v>0</v>
      </c>
      <c r="J88" s="14">
        <f t="shared" si="43"/>
        <v>0</v>
      </c>
    </row>
    <row r="89" spans="1:10" x14ac:dyDescent="0.2">
      <c r="A89" s="27" t="s">
        <v>167</v>
      </c>
      <c r="B89" s="12" t="s">
        <v>168</v>
      </c>
      <c r="C89" s="13"/>
      <c r="D89" s="13">
        <v>29141.99</v>
      </c>
      <c r="E89" s="13"/>
      <c r="F89" s="13">
        <f t="shared" si="47"/>
        <v>29141.99</v>
      </c>
      <c r="H89" s="13"/>
      <c r="I89" s="13">
        <f t="shared" si="45"/>
        <v>0</v>
      </c>
      <c r="J89" s="14">
        <f t="shared" si="43"/>
        <v>0</v>
      </c>
    </row>
    <row r="90" spans="1:10" x14ac:dyDescent="0.2">
      <c r="A90" s="27" t="s">
        <v>169</v>
      </c>
      <c r="B90" s="12" t="s">
        <v>170</v>
      </c>
      <c r="C90" s="13"/>
      <c r="D90" s="13">
        <v>416439.51</v>
      </c>
      <c r="E90" s="13">
        <v>8500</v>
      </c>
      <c r="F90" s="13">
        <f t="shared" si="47"/>
        <v>424939.51</v>
      </c>
      <c r="G90" s="13"/>
      <c r="H90" s="13">
        <v>10738</v>
      </c>
      <c r="I90" s="13">
        <f t="shared" si="45"/>
        <v>10738</v>
      </c>
      <c r="J90" s="14">
        <f t="shared" si="43"/>
        <v>0</v>
      </c>
    </row>
    <row r="91" spans="1:10" x14ac:dyDescent="0.2">
      <c r="A91" s="27" t="s">
        <v>171</v>
      </c>
      <c r="B91" s="12" t="s">
        <v>172</v>
      </c>
      <c r="C91" s="13"/>
      <c r="D91" s="13">
        <v>21712</v>
      </c>
      <c r="E91" s="13"/>
      <c r="F91" s="13">
        <f t="shared" si="47"/>
        <v>21712</v>
      </c>
      <c r="G91" s="13"/>
      <c r="H91" s="13">
        <v>496847.26</v>
      </c>
      <c r="I91" s="13">
        <f t="shared" si="45"/>
        <v>496847.26</v>
      </c>
      <c r="J91" s="14">
        <f t="shared" si="43"/>
        <v>0</v>
      </c>
    </row>
    <row r="92" spans="1:10" hidden="1" x14ac:dyDescent="0.2">
      <c r="A92" s="27" t="s">
        <v>173</v>
      </c>
      <c r="B92" s="12" t="s">
        <v>174</v>
      </c>
      <c r="D92" s="13"/>
      <c r="E92" s="13"/>
      <c r="F92" s="13">
        <f t="shared" si="47"/>
        <v>0</v>
      </c>
      <c r="G92" s="13"/>
      <c r="H92" s="31">
        <f>141364+191875+70000</f>
        <v>403239</v>
      </c>
      <c r="I92" s="13">
        <f t="shared" si="45"/>
        <v>403239</v>
      </c>
      <c r="J92" s="14">
        <f t="shared" si="43"/>
        <v>0</v>
      </c>
    </row>
    <row r="93" spans="1:10" x14ac:dyDescent="0.2">
      <c r="A93" s="27" t="s">
        <v>175</v>
      </c>
      <c r="B93" s="12" t="s">
        <v>176</v>
      </c>
      <c r="C93" s="13"/>
      <c r="D93" s="13">
        <v>104076</v>
      </c>
      <c r="E93" s="13"/>
      <c r="F93" s="13">
        <f t="shared" si="47"/>
        <v>104076</v>
      </c>
      <c r="G93" s="13"/>
      <c r="H93" s="13">
        <v>59000</v>
      </c>
      <c r="I93" s="13">
        <f t="shared" si="45"/>
        <v>59000</v>
      </c>
      <c r="J93" s="14">
        <f t="shared" si="43"/>
        <v>0</v>
      </c>
    </row>
    <row r="94" spans="1:10" x14ac:dyDescent="0.2">
      <c r="A94" s="27" t="s">
        <v>177</v>
      </c>
      <c r="B94" s="12" t="s">
        <v>178</v>
      </c>
      <c r="C94" s="13"/>
      <c r="D94" s="13"/>
      <c r="E94" s="13">
        <v>496847.26</v>
      </c>
      <c r="F94" s="13">
        <f t="shared" si="47"/>
        <v>496847.26</v>
      </c>
      <c r="G94" s="13">
        <f>10666666.66+5333333.33</f>
        <v>15999999.99</v>
      </c>
      <c r="H94" s="13">
        <v>0</v>
      </c>
      <c r="I94" s="13">
        <f t="shared" si="45"/>
        <v>15999999.99</v>
      </c>
      <c r="J94" s="14">
        <f t="shared" si="43"/>
        <v>0</v>
      </c>
    </row>
    <row r="95" spans="1:10" ht="16.5" x14ac:dyDescent="0.3">
      <c r="A95" s="27" t="s">
        <v>179</v>
      </c>
      <c r="B95" s="12" t="s">
        <v>180</v>
      </c>
      <c r="C95" s="13"/>
      <c r="D95" s="13">
        <v>325560</v>
      </c>
      <c r="E95" s="31">
        <v>70000</v>
      </c>
      <c r="F95" s="13">
        <f t="shared" si="47"/>
        <v>395560</v>
      </c>
      <c r="G95" s="32">
        <f>SUM(G96:G99)</f>
        <v>0</v>
      </c>
      <c r="H95" s="32">
        <f t="shared" ref="H95:I95" si="48">SUM(H96:H99)</f>
        <v>0</v>
      </c>
      <c r="I95" s="32">
        <f t="shared" si="48"/>
        <v>0</v>
      </c>
      <c r="J95" s="14">
        <f t="shared" si="43"/>
        <v>0</v>
      </c>
    </row>
    <row r="96" spans="1:10" hidden="1" x14ac:dyDescent="0.2">
      <c r="A96" s="27" t="s">
        <v>181</v>
      </c>
      <c r="B96" s="12" t="s">
        <v>182</v>
      </c>
      <c r="C96" s="13"/>
      <c r="D96" s="13"/>
      <c r="E96" s="13"/>
      <c r="F96" s="13">
        <f t="shared" si="47"/>
        <v>0</v>
      </c>
      <c r="G96" s="13"/>
      <c r="H96" s="13"/>
      <c r="I96" s="13">
        <f>SUM(G96:H96)</f>
        <v>0</v>
      </c>
      <c r="J96" s="14">
        <f t="shared" si="43"/>
        <v>0</v>
      </c>
    </row>
    <row r="97" spans="1:10" ht="13.5" thickBot="1" x14ac:dyDescent="0.25">
      <c r="A97" s="27" t="s">
        <v>183</v>
      </c>
      <c r="B97" s="12" t="s">
        <v>184</v>
      </c>
      <c r="C97" s="13">
        <v>5333333.33</v>
      </c>
      <c r="D97" s="13">
        <v>746409.84</v>
      </c>
      <c r="E97" s="13">
        <v>0</v>
      </c>
      <c r="F97" s="13">
        <f t="shared" si="47"/>
        <v>6079743.1699999999</v>
      </c>
      <c r="G97" s="13"/>
      <c r="H97" s="13"/>
      <c r="I97" s="13">
        <f>SUM(G97:H97)</f>
        <v>0</v>
      </c>
      <c r="J97" s="14">
        <f t="shared" si="43"/>
        <v>0</v>
      </c>
    </row>
    <row r="98" spans="1:10" ht="16.5" hidden="1" x14ac:dyDescent="0.3">
      <c r="A98" s="17" t="s">
        <v>185</v>
      </c>
      <c r="B98" s="18" t="s">
        <v>186</v>
      </c>
      <c r="C98" s="32">
        <f>SUM(C99:C102)</f>
        <v>0</v>
      </c>
      <c r="D98" s="32">
        <f>SUM(D99:D102)</f>
        <v>0</v>
      </c>
      <c r="E98" s="32">
        <f t="shared" ref="E98:F98" si="49">SUM(E99:E102)</f>
        <v>0</v>
      </c>
      <c r="F98" s="32">
        <f t="shared" si="49"/>
        <v>0</v>
      </c>
      <c r="G98" s="13"/>
      <c r="H98" s="13"/>
      <c r="I98" s="13">
        <f>SUM(G98:H98)</f>
        <v>0</v>
      </c>
      <c r="J98" s="14">
        <f t="shared" si="43"/>
        <v>0</v>
      </c>
    </row>
    <row r="99" spans="1:10" ht="13.5" hidden="1" thickBot="1" x14ac:dyDescent="0.25">
      <c r="A99" s="27" t="s">
        <v>187</v>
      </c>
      <c r="B99" s="12" t="s">
        <v>188</v>
      </c>
      <c r="C99" s="13"/>
      <c r="D99" s="13"/>
      <c r="E99" s="13"/>
      <c r="F99" s="13">
        <f t="shared" ref="F99:F102" si="50">SUM(C99:E99)</f>
        <v>0</v>
      </c>
      <c r="G99" s="33"/>
      <c r="H99" s="33"/>
      <c r="I99" s="13">
        <f>SUM(G99:H99)</f>
        <v>0</v>
      </c>
      <c r="J99" s="14">
        <f t="shared" si="43"/>
        <v>0</v>
      </c>
    </row>
    <row r="100" spans="1:10" ht="13.5" hidden="1" thickBot="1" x14ac:dyDescent="0.25">
      <c r="A100" s="27" t="s">
        <v>189</v>
      </c>
      <c r="B100" s="12" t="s">
        <v>190</v>
      </c>
      <c r="C100" s="13"/>
      <c r="D100" s="13"/>
      <c r="E100" s="13"/>
      <c r="F100" s="13">
        <f t="shared" si="50"/>
        <v>0</v>
      </c>
      <c r="G100" s="7">
        <f>G101+G146+G155</f>
        <v>1960000</v>
      </c>
      <c r="H100" s="7">
        <f>+H101+H108+H114+H121+H124+H131+H146+H155</f>
        <v>12427283.43</v>
      </c>
      <c r="I100" s="7" t="e">
        <f>+I101+I108+I114+I121+I124+I131+I146+I155</f>
        <v>#REF!</v>
      </c>
      <c r="J100" s="14">
        <f t="shared" si="43"/>
        <v>0</v>
      </c>
    </row>
    <row r="101" spans="1:10" hidden="1" x14ac:dyDescent="0.2">
      <c r="A101" s="27" t="s">
        <v>191</v>
      </c>
      <c r="B101" s="12" t="s">
        <v>192</v>
      </c>
      <c r="C101" s="13"/>
      <c r="D101" s="13"/>
      <c r="E101" s="13"/>
      <c r="F101" s="13">
        <f t="shared" si="50"/>
        <v>0</v>
      </c>
      <c r="G101" s="19">
        <f>SUM(G102:G107)</f>
        <v>0</v>
      </c>
      <c r="H101" s="19">
        <f t="shared" ref="H101:I101" si="51">SUM(H102:H107)</f>
        <v>1920382.29</v>
      </c>
      <c r="I101" s="19">
        <f t="shared" si="51"/>
        <v>1920382.29</v>
      </c>
      <c r="J101" s="14">
        <f t="shared" si="43"/>
        <v>0</v>
      </c>
    </row>
    <row r="102" spans="1:10" ht="13.5" hidden="1" thickBot="1" x14ac:dyDescent="0.25">
      <c r="A102" s="34" t="s">
        <v>193</v>
      </c>
      <c r="B102" s="35" t="s">
        <v>194</v>
      </c>
      <c r="C102" s="33"/>
      <c r="D102" s="33"/>
      <c r="E102" s="33"/>
      <c r="F102" s="13">
        <f t="shared" si="50"/>
        <v>0</v>
      </c>
      <c r="G102" s="13">
        <v>0</v>
      </c>
      <c r="H102" s="13">
        <f>431208.02+862170.8+602003.47</f>
        <v>1895382.29</v>
      </c>
      <c r="I102" s="13">
        <f t="shared" ref="I102:I107" si="52">SUM(G102:H102)</f>
        <v>1895382.29</v>
      </c>
      <c r="J102" s="14">
        <f t="shared" si="43"/>
        <v>0</v>
      </c>
    </row>
    <row r="103" spans="1:10" ht="16.5" thickBot="1" x14ac:dyDescent="0.3">
      <c r="A103" s="5">
        <v>2.2999999999999998</v>
      </c>
      <c r="B103" s="6" t="s">
        <v>195</v>
      </c>
      <c r="C103" s="7">
        <f>C104+C149+C158</f>
        <v>980000</v>
      </c>
      <c r="D103" s="7">
        <f>D104+D111+D117+D124+D127+D134+D149+D158</f>
        <v>18709068.75</v>
      </c>
      <c r="E103" s="7">
        <f>+E104+E111+E117+E124+E127+E134+E149+E158</f>
        <v>2417474.23</v>
      </c>
      <c r="F103" s="7">
        <f>+F104+F111+F117+F124+F127+F134+F149+F158</f>
        <v>22106542.980000004</v>
      </c>
      <c r="G103" s="13"/>
      <c r="H103" s="13"/>
      <c r="I103" s="13">
        <f t="shared" si="52"/>
        <v>0</v>
      </c>
      <c r="J103" s="14">
        <f t="shared" si="43"/>
        <v>0</v>
      </c>
    </row>
    <row r="104" spans="1:10" ht="16.5" x14ac:dyDescent="0.3">
      <c r="A104" s="17" t="s">
        <v>196</v>
      </c>
      <c r="B104" s="18" t="s">
        <v>197</v>
      </c>
      <c r="C104" s="19">
        <f>SUM(C105:C110)</f>
        <v>0</v>
      </c>
      <c r="D104" s="19">
        <f>SUM(D105:D110)</f>
        <v>9175753.6600000001</v>
      </c>
      <c r="E104" s="19">
        <f t="shared" ref="E104:F104" si="53">SUM(E105:E110)</f>
        <v>602003.47</v>
      </c>
      <c r="F104" s="19">
        <f t="shared" si="53"/>
        <v>9777757.1300000008</v>
      </c>
      <c r="G104" s="13"/>
      <c r="H104" s="13"/>
      <c r="I104" s="13">
        <f t="shared" si="52"/>
        <v>0</v>
      </c>
      <c r="J104" s="14">
        <f t="shared" si="43"/>
        <v>0</v>
      </c>
    </row>
    <row r="105" spans="1:10" x14ac:dyDescent="0.2">
      <c r="A105" s="27" t="s">
        <v>198</v>
      </c>
      <c r="B105" s="12" t="s">
        <v>199</v>
      </c>
      <c r="C105" s="13">
        <v>0</v>
      </c>
      <c r="D105" s="13">
        <v>8701158.0500000007</v>
      </c>
      <c r="E105" s="13">
        <v>602003.47</v>
      </c>
      <c r="F105" s="13">
        <f t="shared" ref="F105:F110" si="54">SUM(C105:E105)</f>
        <v>9303161.5200000014</v>
      </c>
      <c r="G105" s="13"/>
      <c r="H105" s="13"/>
      <c r="I105" s="13">
        <f t="shared" si="52"/>
        <v>0</v>
      </c>
      <c r="J105" s="14">
        <f t="shared" si="43"/>
        <v>0</v>
      </c>
    </row>
    <row r="106" spans="1:10" x14ac:dyDescent="0.2">
      <c r="A106" s="27" t="s">
        <v>200</v>
      </c>
      <c r="B106" s="12" t="s">
        <v>201</v>
      </c>
      <c r="C106" s="13"/>
      <c r="D106" s="13">
        <v>166150</v>
      </c>
      <c r="E106" s="13"/>
      <c r="F106" s="13">
        <f t="shared" si="54"/>
        <v>166150</v>
      </c>
      <c r="G106" s="13"/>
      <c r="H106" s="13">
        <v>25000</v>
      </c>
      <c r="I106" s="13">
        <f t="shared" si="52"/>
        <v>25000</v>
      </c>
      <c r="J106" s="14">
        <f t="shared" si="43"/>
        <v>0</v>
      </c>
    </row>
    <row r="107" spans="1:10" hidden="1" x14ac:dyDescent="0.2">
      <c r="A107" s="27" t="s">
        <v>202</v>
      </c>
      <c r="B107" s="12" t="s">
        <v>203</v>
      </c>
      <c r="C107" s="13"/>
      <c r="D107" s="13"/>
      <c r="E107" s="13"/>
      <c r="F107" s="13">
        <f t="shared" si="54"/>
        <v>0</v>
      </c>
      <c r="G107" s="13"/>
      <c r="H107" s="13"/>
      <c r="I107" s="13">
        <f t="shared" si="52"/>
        <v>0</v>
      </c>
      <c r="J107" s="14">
        <f t="shared" si="43"/>
        <v>0</v>
      </c>
    </row>
    <row r="108" spans="1:10" hidden="1" x14ac:dyDescent="0.2">
      <c r="A108" s="27" t="s">
        <v>204</v>
      </c>
      <c r="B108" s="12" t="s">
        <v>205</v>
      </c>
      <c r="C108" s="13"/>
      <c r="D108" s="13"/>
      <c r="E108" s="13"/>
      <c r="F108" s="13">
        <f t="shared" si="54"/>
        <v>0</v>
      </c>
      <c r="G108" s="19">
        <f>SUM(G109:G113)</f>
        <v>0</v>
      </c>
      <c r="H108" s="19">
        <f t="shared" ref="H108:I108" si="55">SUM(H109:H113)</f>
        <v>307722.59999999998</v>
      </c>
      <c r="I108" s="19">
        <f t="shared" si="55"/>
        <v>307722.59999999998</v>
      </c>
      <c r="J108" s="14">
        <f t="shared" si="43"/>
        <v>0</v>
      </c>
    </row>
    <row r="109" spans="1:10" x14ac:dyDescent="0.2">
      <c r="A109" s="27" t="s">
        <v>206</v>
      </c>
      <c r="B109" s="12" t="s">
        <v>207</v>
      </c>
      <c r="C109" s="13"/>
      <c r="D109" s="13">
        <v>305472.01</v>
      </c>
      <c r="E109" s="13"/>
      <c r="F109" s="13">
        <f t="shared" si="54"/>
        <v>305472.01</v>
      </c>
      <c r="G109" s="13"/>
      <c r="H109" s="13">
        <v>922.6</v>
      </c>
      <c r="I109" s="13">
        <f>SUM(G109:H109)</f>
        <v>922.6</v>
      </c>
      <c r="J109" s="14">
        <f t="shared" si="43"/>
        <v>0</v>
      </c>
    </row>
    <row r="110" spans="1:10" x14ac:dyDescent="0.2">
      <c r="A110" s="27" t="s">
        <v>208</v>
      </c>
      <c r="B110" s="12" t="s">
        <v>209</v>
      </c>
      <c r="C110" s="13"/>
      <c r="D110" s="13">
        <v>2973.6</v>
      </c>
      <c r="E110" s="13"/>
      <c r="F110" s="13">
        <f t="shared" si="54"/>
        <v>2973.6</v>
      </c>
      <c r="G110" s="13"/>
      <c r="H110" s="13">
        <v>224200</v>
      </c>
      <c r="I110" s="13">
        <f>SUM(G110:H110)</f>
        <v>224200</v>
      </c>
      <c r="J110" s="14">
        <f t="shared" si="43"/>
        <v>0</v>
      </c>
    </row>
    <row r="111" spans="1:10" ht="16.5" x14ac:dyDescent="0.3">
      <c r="A111" s="17" t="s">
        <v>210</v>
      </c>
      <c r="B111" s="18" t="s">
        <v>211</v>
      </c>
      <c r="C111" s="19">
        <f>SUM(C112:C116)</f>
        <v>0</v>
      </c>
      <c r="D111" s="19">
        <f>SUM(D112:D116)</f>
        <v>301529</v>
      </c>
      <c r="E111" s="19">
        <f t="shared" ref="E111:F111" si="56">SUM(E112:E116)</f>
        <v>225122.6</v>
      </c>
      <c r="F111" s="19">
        <f t="shared" si="56"/>
        <v>526651.6</v>
      </c>
      <c r="G111" s="13"/>
      <c r="H111" s="13">
        <v>82600</v>
      </c>
      <c r="I111" s="13">
        <f>SUM(G111:H111)</f>
        <v>82600</v>
      </c>
      <c r="J111" s="14">
        <f t="shared" si="43"/>
        <v>0</v>
      </c>
    </row>
    <row r="112" spans="1:10" x14ac:dyDescent="0.2">
      <c r="A112" s="27" t="s">
        <v>212</v>
      </c>
      <c r="B112" s="12" t="s">
        <v>213</v>
      </c>
      <c r="C112" s="13"/>
      <c r="D112" s="13">
        <v>46260.75</v>
      </c>
      <c r="E112" s="13">
        <v>922.6</v>
      </c>
      <c r="F112" s="13">
        <f t="shared" ref="F112:F116" si="57">SUM(C112:E112)</f>
        <v>47183.35</v>
      </c>
      <c r="G112" s="13"/>
      <c r="H112" s="13"/>
      <c r="I112" s="13">
        <f>SUM(G112:H112)</f>
        <v>0</v>
      </c>
      <c r="J112" s="14">
        <f t="shared" si="43"/>
        <v>0</v>
      </c>
    </row>
    <row r="113" spans="1:10" x14ac:dyDescent="0.2">
      <c r="A113" s="27" t="s">
        <v>214</v>
      </c>
      <c r="B113" s="12" t="s">
        <v>215</v>
      </c>
      <c r="C113" s="13"/>
      <c r="D113" s="13">
        <v>157705.85</v>
      </c>
      <c r="E113" s="13">
        <v>224200</v>
      </c>
      <c r="F113" s="13">
        <f t="shared" si="57"/>
        <v>381905.85</v>
      </c>
      <c r="G113" s="13"/>
      <c r="H113" s="13"/>
      <c r="I113" s="13">
        <f>SUM(G113:H113)</f>
        <v>0</v>
      </c>
      <c r="J113" s="14">
        <f t="shared" si="43"/>
        <v>0</v>
      </c>
    </row>
    <row r="114" spans="1:10" x14ac:dyDescent="0.2">
      <c r="A114" s="27" t="s">
        <v>216</v>
      </c>
      <c r="B114" s="12" t="s">
        <v>217</v>
      </c>
      <c r="C114" s="13"/>
      <c r="D114" s="13">
        <v>97562.4</v>
      </c>
      <c r="E114" s="13"/>
      <c r="F114" s="13">
        <f t="shared" si="57"/>
        <v>97562.4</v>
      </c>
      <c r="G114" s="19">
        <f>SUM(G115:G120)</f>
        <v>0</v>
      </c>
      <c r="H114" s="19">
        <f t="shared" ref="H114:I114" si="58">SUM(H115:H120)</f>
        <v>557222.24</v>
      </c>
      <c r="I114" s="19" t="e">
        <f t="shared" si="58"/>
        <v>#REF!</v>
      </c>
      <c r="J114" s="14">
        <f t="shared" si="43"/>
        <v>0</v>
      </c>
    </row>
    <row r="115" spans="1:10" hidden="1" x14ac:dyDescent="0.2">
      <c r="A115" s="27" t="s">
        <v>218</v>
      </c>
      <c r="B115" s="12" t="s">
        <v>219</v>
      </c>
      <c r="C115" s="13"/>
      <c r="D115" s="13"/>
      <c r="E115" s="13"/>
      <c r="F115" s="13">
        <f t="shared" si="57"/>
        <v>0</v>
      </c>
      <c r="G115" s="13"/>
      <c r="H115" s="13"/>
      <c r="I115" s="13" t="e">
        <f>+G115+#REF!+H115</f>
        <v>#REF!</v>
      </c>
      <c r="J115" s="14">
        <f t="shared" si="43"/>
        <v>0</v>
      </c>
    </row>
    <row r="116" spans="1:10" hidden="1" x14ac:dyDescent="0.2">
      <c r="A116" s="23"/>
      <c r="B116" s="12"/>
      <c r="C116" s="13"/>
      <c r="D116" s="13"/>
      <c r="E116" s="13"/>
      <c r="F116" s="13">
        <f t="shared" si="57"/>
        <v>0</v>
      </c>
      <c r="G116" s="13"/>
      <c r="H116" s="13">
        <v>1632.74</v>
      </c>
      <c r="I116" s="13" t="e">
        <f>+G116+#REF!+H116</f>
        <v>#REF!</v>
      </c>
      <c r="J116" s="14">
        <f t="shared" si="43"/>
        <v>0</v>
      </c>
    </row>
    <row r="117" spans="1:10" ht="16.5" x14ac:dyDescent="0.3">
      <c r="A117" s="17" t="s">
        <v>220</v>
      </c>
      <c r="B117" s="18" t="s">
        <v>221</v>
      </c>
      <c r="C117" s="19">
        <f>SUM(C118:C123)</f>
        <v>0</v>
      </c>
      <c r="D117" s="19">
        <f>SUM(D118:D123)</f>
        <v>26150.05</v>
      </c>
      <c r="E117" s="19">
        <f t="shared" ref="E117:F117" si="59">SUM(E118:E123)</f>
        <v>0</v>
      </c>
      <c r="F117" s="19">
        <f t="shared" si="59"/>
        <v>26150.05</v>
      </c>
      <c r="G117" s="13"/>
      <c r="H117" s="13">
        <v>0</v>
      </c>
      <c r="I117" s="13" t="e">
        <f>+G117+#REF!+H117</f>
        <v>#REF!</v>
      </c>
      <c r="J117" s="14">
        <f t="shared" si="43"/>
        <v>0</v>
      </c>
    </row>
    <row r="118" spans="1:10" hidden="1" x14ac:dyDescent="0.2">
      <c r="A118" s="27" t="s">
        <v>222</v>
      </c>
      <c r="B118" s="12" t="s">
        <v>223</v>
      </c>
      <c r="C118" s="13"/>
      <c r="D118" s="13"/>
      <c r="E118" s="13"/>
      <c r="F118" s="13">
        <f t="shared" ref="F118:F123" si="60">SUM(C118:E118)</f>
        <v>0</v>
      </c>
      <c r="G118" s="13"/>
      <c r="H118" s="13">
        <v>0</v>
      </c>
      <c r="I118" s="13" t="e">
        <f>+G118+#REF!+H118</f>
        <v>#REF!</v>
      </c>
      <c r="J118" s="14">
        <f t="shared" si="43"/>
        <v>0</v>
      </c>
    </row>
    <row r="119" spans="1:10" x14ac:dyDescent="0.2">
      <c r="A119" s="27" t="s">
        <v>224</v>
      </c>
      <c r="B119" s="12" t="s">
        <v>225</v>
      </c>
      <c r="C119" s="13"/>
      <c r="D119" s="13">
        <v>26150.05</v>
      </c>
      <c r="E119" s="13"/>
      <c r="F119" s="13">
        <f t="shared" si="60"/>
        <v>26150.05</v>
      </c>
      <c r="G119" s="13"/>
      <c r="H119" s="13">
        <v>555589.5</v>
      </c>
      <c r="I119" s="13" t="e">
        <f>+G119+#REF!+H119</f>
        <v>#REF!</v>
      </c>
      <c r="J119" s="14">
        <f t="shared" si="43"/>
        <v>0</v>
      </c>
    </row>
    <row r="120" spans="1:10" hidden="1" x14ac:dyDescent="0.2">
      <c r="A120" s="27" t="s">
        <v>226</v>
      </c>
      <c r="B120" s="12" t="s">
        <v>227</v>
      </c>
      <c r="C120" s="13"/>
      <c r="D120" s="13"/>
      <c r="E120" s="13">
        <v>0</v>
      </c>
      <c r="F120" s="13">
        <f t="shared" si="60"/>
        <v>0</v>
      </c>
      <c r="G120" s="13"/>
      <c r="H120" s="13"/>
      <c r="I120" s="13" t="e">
        <f>+G120+#REF!+H120</f>
        <v>#REF!</v>
      </c>
      <c r="J120" s="14">
        <f t="shared" si="43"/>
        <v>0</v>
      </c>
    </row>
    <row r="121" spans="1:10" hidden="1" x14ac:dyDescent="0.2">
      <c r="A121" s="27" t="s">
        <v>228</v>
      </c>
      <c r="B121" s="12" t="s">
        <v>229</v>
      </c>
      <c r="C121" s="13"/>
      <c r="D121" s="13"/>
      <c r="E121" s="13">
        <v>0</v>
      </c>
      <c r="F121" s="13">
        <f t="shared" si="60"/>
        <v>0</v>
      </c>
      <c r="G121" s="19">
        <f>SUM(G122:G123)</f>
        <v>0</v>
      </c>
      <c r="H121" s="19">
        <f t="shared" ref="H121:I121" si="61">SUM(H122:H123)</f>
        <v>0</v>
      </c>
      <c r="I121" s="19" t="e">
        <f t="shared" si="61"/>
        <v>#REF!</v>
      </c>
      <c r="J121" s="14">
        <f t="shared" si="43"/>
        <v>0</v>
      </c>
    </row>
    <row r="122" spans="1:10" hidden="1" x14ac:dyDescent="0.2">
      <c r="A122" s="27" t="s">
        <v>230</v>
      </c>
      <c r="B122" s="12" t="s">
        <v>231</v>
      </c>
      <c r="C122" s="13"/>
      <c r="D122" s="13">
        <v>0</v>
      </c>
      <c r="E122" s="13"/>
      <c r="F122" s="13">
        <f t="shared" si="60"/>
        <v>0</v>
      </c>
      <c r="G122" s="13"/>
      <c r="H122" s="13">
        <v>0</v>
      </c>
      <c r="I122" s="13" t="e">
        <f>+G122+#REF!+H122</f>
        <v>#REF!</v>
      </c>
      <c r="J122" s="14">
        <f t="shared" si="43"/>
        <v>0</v>
      </c>
    </row>
    <row r="123" spans="1:10" hidden="1" x14ac:dyDescent="0.2">
      <c r="A123" s="23"/>
      <c r="B123" s="12"/>
      <c r="C123" s="13"/>
      <c r="D123" s="13"/>
      <c r="E123" s="13"/>
      <c r="F123" s="13">
        <f t="shared" si="60"/>
        <v>0</v>
      </c>
      <c r="G123" s="13"/>
      <c r="H123" s="13"/>
      <c r="I123" s="13" t="e">
        <f>+G123+#REF!+H123</f>
        <v>#REF!</v>
      </c>
      <c r="J123" s="14">
        <f t="shared" si="43"/>
        <v>0</v>
      </c>
    </row>
    <row r="124" spans="1:10" ht="16.5" x14ac:dyDescent="0.3">
      <c r="A124" s="17" t="s">
        <v>232</v>
      </c>
      <c r="B124" s="18" t="s">
        <v>233</v>
      </c>
      <c r="C124" s="19">
        <f>SUM(C125:C126)</f>
        <v>0</v>
      </c>
      <c r="D124" s="19">
        <f t="shared" ref="D124:F124" si="62">SUM(D125:D126)</f>
        <v>178926.85</v>
      </c>
      <c r="E124" s="19">
        <f t="shared" si="62"/>
        <v>5003.1400000000003</v>
      </c>
      <c r="F124" s="19">
        <f t="shared" si="62"/>
        <v>183929.99000000002</v>
      </c>
      <c r="G124" s="19">
        <f>SUM(G125:G130)</f>
        <v>0</v>
      </c>
      <c r="H124" s="19">
        <f t="shared" ref="H124:I124" si="63">SUM(H125:H130)</f>
        <v>192716.02</v>
      </c>
      <c r="I124" s="19">
        <f t="shared" si="63"/>
        <v>192716.02</v>
      </c>
      <c r="J124" s="14">
        <f t="shared" si="43"/>
        <v>0</v>
      </c>
    </row>
    <row r="125" spans="1:10" x14ac:dyDescent="0.2">
      <c r="A125" s="27" t="s">
        <v>234</v>
      </c>
      <c r="B125" s="12" t="s">
        <v>235</v>
      </c>
      <c r="C125" s="13"/>
      <c r="D125" s="13">
        <v>178926.85</v>
      </c>
      <c r="E125" s="13">
        <v>5003.1400000000003</v>
      </c>
      <c r="F125" s="13">
        <f t="shared" ref="F125:F126" si="64">SUM(C125:E125)</f>
        <v>183929.99000000002</v>
      </c>
      <c r="G125" s="13"/>
      <c r="H125" s="13"/>
      <c r="I125" s="13">
        <f t="shared" ref="I125:I130" si="65">SUM(G125:H125)</f>
        <v>0</v>
      </c>
      <c r="J125" s="14">
        <f t="shared" si="43"/>
        <v>0</v>
      </c>
    </row>
    <row r="126" spans="1:10" hidden="1" x14ac:dyDescent="0.2">
      <c r="A126" s="27"/>
      <c r="B126" s="12"/>
      <c r="C126" s="13"/>
      <c r="D126" s="13"/>
      <c r="E126" s="13"/>
      <c r="F126" s="13">
        <f t="shared" si="64"/>
        <v>0</v>
      </c>
      <c r="G126" s="13"/>
      <c r="H126" s="13"/>
      <c r="I126" s="13">
        <f t="shared" si="65"/>
        <v>0</v>
      </c>
      <c r="J126" s="14">
        <f t="shared" si="43"/>
        <v>0</v>
      </c>
    </row>
    <row r="127" spans="1:10" ht="16.5" x14ac:dyDescent="0.3">
      <c r="A127" s="17" t="s">
        <v>236</v>
      </c>
      <c r="B127" s="18" t="s">
        <v>237</v>
      </c>
      <c r="C127" s="19">
        <f>SUM(C128:C133)</f>
        <v>0</v>
      </c>
      <c r="D127" s="19">
        <f>SUM(D128:D133)</f>
        <v>873335.76</v>
      </c>
      <c r="E127" s="19">
        <f t="shared" ref="E127:F127" si="66">SUM(E128:E133)</f>
        <v>31309.62</v>
      </c>
      <c r="F127" s="19">
        <f t="shared" si="66"/>
        <v>904645.37999999989</v>
      </c>
      <c r="G127" s="13"/>
      <c r="H127" s="13">
        <f>62009+7127.2</f>
        <v>69136.2</v>
      </c>
      <c r="I127" s="13">
        <f t="shared" si="65"/>
        <v>69136.2</v>
      </c>
      <c r="J127" s="14">
        <f t="shared" si="43"/>
        <v>0</v>
      </c>
    </row>
    <row r="128" spans="1:10" hidden="1" x14ac:dyDescent="0.2">
      <c r="A128" s="27" t="s">
        <v>238</v>
      </c>
      <c r="B128" s="12" t="s">
        <v>239</v>
      </c>
      <c r="C128" s="13"/>
      <c r="D128" s="13"/>
      <c r="E128" s="13"/>
      <c r="F128" s="13">
        <f t="shared" ref="F128:F133" si="67">SUM(C128:E128)</f>
        <v>0</v>
      </c>
      <c r="G128" s="13"/>
      <c r="H128" s="13"/>
      <c r="I128" s="13">
        <f t="shared" si="65"/>
        <v>0</v>
      </c>
      <c r="J128" s="14">
        <f t="shared" si="43"/>
        <v>0</v>
      </c>
    </row>
    <row r="129" spans="1:10" hidden="1" x14ac:dyDescent="0.2">
      <c r="A129" s="27" t="s">
        <v>240</v>
      </c>
      <c r="B129" s="12" t="s">
        <v>241</v>
      </c>
      <c r="C129" s="13"/>
      <c r="D129" s="13"/>
      <c r="E129" s="13"/>
      <c r="F129" s="13">
        <f t="shared" si="67"/>
        <v>0</v>
      </c>
      <c r="G129" s="13"/>
      <c r="H129" s="13">
        <f>3156.01+120423.81</f>
        <v>123579.81999999999</v>
      </c>
      <c r="I129" s="13">
        <f t="shared" si="65"/>
        <v>123579.81999999999</v>
      </c>
      <c r="J129" s="14">
        <f t="shared" si="43"/>
        <v>0</v>
      </c>
    </row>
    <row r="130" spans="1:10" x14ac:dyDescent="0.2">
      <c r="A130" s="27" t="s">
        <v>242</v>
      </c>
      <c r="B130" s="12" t="s">
        <v>243</v>
      </c>
      <c r="C130" s="13"/>
      <c r="D130" s="13">
        <v>276634.01</v>
      </c>
      <c r="E130" s="13"/>
      <c r="F130" s="13">
        <f t="shared" si="67"/>
        <v>276634.01</v>
      </c>
      <c r="G130" s="13"/>
      <c r="H130" s="13"/>
      <c r="I130" s="13">
        <f t="shared" si="65"/>
        <v>0</v>
      </c>
      <c r="J130" s="14">
        <f t="shared" si="43"/>
        <v>0</v>
      </c>
    </row>
    <row r="131" spans="1:10" x14ac:dyDescent="0.2">
      <c r="A131" s="27" t="s">
        <v>244</v>
      </c>
      <c r="B131" s="12" t="s">
        <v>245</v>
      </c>
      <c r="C131" s="13"/>
      <c r="D131" s="13">
        <v>3728.8</v>
      </c>
      <c r="E131" s="13"/>
      <c r="F131" s="13">
        <f t="shared" si="67"/>
        <v>3728.8</v>
      </c>
      <c r="G131" s="19">
        <f>SUM(G132:G145)</f>
        <v>0</v>
      </c>
      <c r="H131" s="19">
        <f t="shared" ref="H131:I131" si="68">SUM(H132:H145)</f>
        <v>21054.42</v>
      </c>
      <c r="I131" s="19">
        <f t="shared" si="68"/>
        <v>21054.42</v>
      </c>
      <c r="J131" s="14">
        <f t="shared" si="43"/>
        <v>0</v>
      </c>
    </row>
    <row r="132" spans="1:10" x14ac:dyDescent="0.2">
      <c r="A132" s="27" t="s">
        <v>246</v>
      </c>
      <c r="B132" s="12" t="s">
        <v>247</v>
      </c>
      <c r="C132" s="13"/>
      <c r="D132" s="13">
        <v>592972.94999999995</v>
      </c>
      <c r="E132" s="13">
        <v>31309.62</v>
      </c>
      <c r="F132" s="13">
        <f t="shared" si="67"/>
        <v>624282.56999999995</v>
      </c>
      <c r="G132" s="13"/>
      <c r="H132" s="13"/>
      <c r="I132" s="13">
        <f t="shared" ref="I132:I145" si="69">SUM(G132:H132)</f>
        <v>0</v>
      </c>
      <c r="J132" s="14">
        <f t="shared" si="43"/>
        <v>0</v>
      </c>
    </row>
    <row r="133" spans="1:10" hidden="1" x14ac:dyDescent="0.2">
      <c r="A133" s="23"/>
      <c r="B133" s="12"/>
      <c r="C133" s="13"/>
      <c r="D133" s="13"/>
      <c r="E133" s="13"/>
      <c r="F133" s="13">
        <f t="shared" si="67"/>
        <v>0</v>
      </c>
      <c r="G133" s="13"/>
      <c r="H133" s="13"/>
      <c r="I133" s="13">
        <f t="shared" si="69"/>
        <v>0</v>
      </c>
      <c r="J133" s="14">
        <f t="shared" si="43"/>
        <v>0</v>
      </c>
    </row>
    <row r="134" spans="1:10" ht="16.5" x14ac:dyDescent="0.3">
      <c r="A134" s="17" t="s">
        <v>248</v>
      </c>
      <c r="B134" s="18" t="s">
        <v>249</v>
      </c>
      <c r="C134" s="19">
        <f>SUM(C135:C148)</f>
        <v>0</v>
      </c>
      <c r="D134" s="19">
        <f t="shared" ref="D134:F134" si="70">SUM(D135:D148)</f>
        <v>359976.67</v>
      </c>
      <c r="E134" s="19">
        <f t="shared" si="70"/>
        <v>5200</v>
      </c>
      <c r="F134" s="19">
        <f t="shared" si="70"/>
        <v>365176.67</v>
      </c>
      <c r="G134" s="13"/>
      <c r="H134" s="13"/>
      <c r="I134" s="13">
        <f t="shared" si="69"/>
        <v>0</v>
      </c>
      <c r="J134" s="14">
        <f t="shared" si="43"/>
        <v>0</v>
      </c>
    </row>
    <row r="135" spans="1:10" hidden="1" x14ac:dyDescent="0.2">
      <c r="A135" s="27" t="s">
        <v>250</v>
      </c>
      <c r="B135" s="12" t="s">
        <v>251</v>
      </c>
      <c r="C135" s="13"/>
      <c r="D135" s="13"/>
      <c r="E135" s="13"/>
      <c r="F135" s="13">
        <f t="shared" ref="F135:F148" si="71">SUM(C135:E135)</f>
        <v>0</v>
      </c>
      <c r="G135" s="13"/>
      <c r="H135" s="13">
        <v>989.98</v>
      </c>
      <c r="I135" s="13">
        <f t="shared" si="69"/>
        <v>989.98</v>
      </c>
      <c r="J135" s="14">
        <f t="shared" si="43"/>
        <v>0</v>
      </c>
    </row>
    <row r="136" spans="1:10" hidden="1" x14ac:dyDescent="0.2">
      <c r="A136" s="27" t="s">
        <v>252</v>
      </c>
      <c r="B136" s="12" t="s">
        <v>253</v>
      </c>
      <c r="C136" s="13"/>
      <c r="D136" s="13"/>
      <c r="E136" s="13"/>
      <c r="F136" s="13">
        <f t="shared" si="71"/>
        <v>0</v>
      </c>
      <c r="G136" s="13"/>
      <c r="H136" s="13"/>
      <c r="I136" s="13">
        <f t="shared" si="69"/>
        <v>0</v>
      </c>
      <c r="J136" s="14">
        <f t="shared" si="43"/>
        <v>0</v>
      </c>
    </row>
    <row r="137" spans="1:10" hidden="1" x14ac:dyDescent="0.2">
      <c r="A137" s="27" t="s">
        <v>254</v>
      </c>
      <c r="B137" s="12" t="s">
        <v>255</v>
      </c>
      <c r="C137" s="13"/>
      <c r="D137" s="13"/>
      <c r="E137" s="13"/>
      <c r="F137" s="13">
        <f t="shared" si="71"/>
        <v>0</v>
      </c>
      <c r="G137" s="13"/>
      <c r="H137" s="13"/>
      <c r="I137" s="13">
        <f t="shared" si="69"/>
        <v>0</v>
      </c>
      <c r="J137" s="14">
        <f t="shared" ref="J137:J200" si="72">+C137+D137+E137-F137</f>
        <v>0</v>
      </c>
    </row>
    <row r="138" spans="1:10" x14ac:dyDescent="0.2">
      <c r="A138" s="27" t="s">
        <v>256</v>
      </c>
      <c r="B138" s="12" t="s">
        <v>257</v>
      </c>
      <c r="C138" s="13"/>
      <c r="D138" s="13">
        <v>23293.200000000001</v>
      </c>
      <c r="E138" s="13"/>
      <c r="F138" s="13">
        <f t="shared" si="71"/>
        <v>23293.200000000001</v>
      </c>
      <c r="G138" s="13"/>
      <c r="H138" s="13">
        <v>0</v>
      </c>
      <c r="I138" s="13">
        <f t="shared" si="69"/>
        <v>0</v>
      </c>
      <c r="J138" s="14">
        <f t="shared" si="72"/>
        <v>0</v>
      </c>
    </row>
    <row r="139" spans="1:10" hidden="1" x14ac:dyDescent="0.2">
      <c r="A139" s="27" t="s">
        <v>258</v>
      </c>
      <c r="B139" s="12" t="s">
        <v>259</v>
      </c>
      <c r="C139" s="13"/>
      <c r="D139" s="13"/>
      <c r="E139" s="13"/>
      <c r="F139" s="13">
        <f t="shared" si="71"/>
        <v>0</v>
      </c>
      <c r="G139" s="13"/>
      <c r="H139" s="13"/>
      <c r="I139" s="13">
        <f t="shared" si="69"/>
        <v>0</v>
      </c>
      <c r="J139" s="14">
        <f t="shared" si="72"/>
        <v>0</v>
      </c>
    </row>
    <row r="140" spans="1:10" x14ac:dyDescent="0.2">
      <c r="A140" s="27" t="s">
        <v>260</v>
      </c>
      <c r="B140" s="12" t="s">
        <v>261</v>
      </c>
      <c r="C140" s="13"/>
      <c r="D140" s="13">
        <v>74151.600000000006</v>
      </c>
      <c r="E140" s="13"/>
      <c r="F140" s="13">
        <f t="shared" si="71"/>
        <v>74151.600000000006</v>
      </c>
      <c r="G140" s="13"/>
      <c r="H140" s="13"/>
      <c r="I140" s="13">
        <f t="shared" si="69"/>
        <v>0</v>
      </c>
      <c r="J140" s="14">
        <f t="shared" si="72"/>
        <v>0</v>
      </c>
    </row>
    <row r="141" spans="1:10" x14ac:dyDescent="0.2">
      <c r="A141" s="27" t="s">
        <v>262</v>
      </c>
      <c r="B141" s="12" t="s">
        <v>263</v>
      </c>
      <c r="C141" s="13"/>
      <c r="D141" s="13">
        <v>24780</v>
      </c>
      <c r="E141" s="13">
        <v>0</v>
      </c>
      <c r="F141" s="13">
        <f t="shared" si="71"/>
        <v>24780</v>
      </c>
      <c r="G141" s="13"/>
      <c r="H141" s="13">
        <f>9562.4+3480.98</f>
        <v>13043.38</v>
      </c>
      <c r="I141" s="13">
        <f t="shared" si="69"/>
        <v>13043.38</v>
      </c>
      <c r="J141" s="14">
        <f t="shared" si="72"/>
        <v>0</v>
      </c>
    </row>
    <row r="142" spans="1:10" x14ac:dyDescent="0.2">
      <c r="A142" s="27" t="s">
        <v>264</v>
      </c>
      <c r="B142" s="12" t="s">
        <v>265</v>
      </c>
      <c r="C142" s="13"/>
      <c r="D142" s="13">
        <v>18780.45</v>
      </c>
      <c r="E142" s="13"/>
      <c r="F142" s="13">
        <f t="shared" si="71"/>
        <v>18780.45</v>
      </c>
      <c r="G142" s="13"/>
      <c r="H142" s="13"/>
      <c r="I142" s="13">
        <f t="shared" si="69"/>
        <v>0</v>
      </c>
      <c r="J142" s="14">
        <f t="shared" si="72"/>
        <v>0</v>
      </c>
    </row>
    <row r="143" spans="1:10" x14ac:dyDescent="0.2">
      <c r="A143" s="27" t="s">
        <v>266</v>
      </c>
      <c r="B143" s="12" t="s">
        <v>267</v>
      </c>
      <c r="C143" s="13"/>
      <c r="D143" s="13">
        <v>7323.8</v>
      </c>
      <c r="E143" s="13"/>
      <c r="F143" s="13">
        <f t="shared" si="71"/>
        <v>7323.8</v>
      </c>
      <c r="G143" s="13"/>
      <c r="H143" s="13">
        <v>7021.06</v>
      </c>
      <c r="I143" s="13">
        <f t="shared" si="69"/>
        <v>7021.06</v>
      </c>
      <c r="J143" s="14">
        <f t="shared" si="72"/>
        <v>0</v>
      </c>
    </row>
    <row r="144" spans="1:10" x14ac:dyDescent="0.2">
      <c r="A144" s="27" t="s">
        <v>268</v>
      </c>
      <c r="B144" s="12" t="s">
        <v>269</v>
      </c>
      <c r="C144" s="13"/>
      <c r="D144" s="13">
        <v>151991.82</v>
      </c>
      <c r="E144" s="13">
        <v>5200</v>
      </c>
      <c r="F144" s="13">
        <f t="shared" si="71"/>
        <v>157191.82</v>
      </c>
      <c r="G144" s="13"/>
      <c r="H144" s="13"/>
      <c r="I144" s="13">
        <f t="shared" si="69"/>
        <v>0</v>
      </c>
      <c r="J144" s="14">
        <f t="shared" si="72"/>
        <v>0</v>
      </c>
    </row>
    <row r="145" spans="1:11" hidden="1" x14ac:dyDescent="0.2">
      <c r="A145" s="27" t="s">
        <v>270</v>
      </c>
      <c r="B145" s="12" t="s">
        <v>271</v>
      </c>
      <c r="C145" s="13"/>
      <c r="D145" s="13"/>
      <c r="E145" s="13"/>
      <c r="F145" s="13">
        <f t="shared" si="71"/>
        <v>0</v>
      </c>
      <c r="G145" s="13"/>
      <c r="H145" s="13"/>
      <c r="I145" s="13">
        <f t="shared" si="69"/>
        <v>0</v>
      </c>
      <c r="J145" s="14">
        <f t="shared" si="72"/>
        <v>0</v>
      </c>
    </row>
    <row r="146" spans="1:11" x14ac:dyDescent="0.2">
      <c r="A146" s="27" t="s">
        <v>272</v>
      </c>
      <c r="B146" s="12" t="s">
        <v>273</v>
      </c>
      <c r="C146" s="13"/>
      <c r="D146" s="13">
        <v>59655.8</v>
      </c>
      <c r="E146" s="13"/>
      <c r="F146" s="13">
        <f t="shared" si="71"/>
        <v>59655.8</v>
      </c>
      <c r="G146" s="19">
        <f>SUM(G147:G154)</f>
        <v>1960000</v>
      </c>
      <c r="H146" s="19">
        <f t="shared" ref="H146:I146" si="73">SUM(H147:H154)</f>
        <v>328278.86</v>
      </c>
      <c r="I146" s="19">
        <f t="shared" si="73"/>
        <v>2288278.8600000003</v>
      </c>
      <c r="J146" s="14">
        <f t="shared" si="72"/>
        <v>0</v>
      </c>
    </row>
    <row r="147" spans="1:11" hidden="1" x14ac:dyDescent="0.2">
      <c r="A147" s="27" t="s">
        <v>274</v>
      </c>
      <c r="B147" s="12" t="s">
        <v>275</v>
      </c>
      <c r="C147" s="13"/>
      <c r="D147" s="13"/>
      <c r="E147" s="13"/>
      <c r="F147" s="13">
        <f t="shared" si="71"/>
        <v>0</v>
      </c>
      <c r="G147" s="13">
        <v>0</v>
      </c>
      <c r="H147" s="13">
        <v>200</v>
      </c>
      <c r="I147" s="13">
        <f t="shared" ref="I147:I154" si="74">SUM(G147:H147)</f>
        <v>200</v>
      </c>
      <c r="J147" s="14">
        <f t="shared" si="72"/>
        <v>0</v>
      </c>
    </row>
    <row r="148" spans="1:11" hidden="1" x14ac:dyDescent="0.2">
      <c r="A148" s="23"/>
      <c r="B148" s="12"/>
      <c r="C148" s="13"/>
      <c r="D148" s="13"/>
      <c r="E148" s="13"/>
      <c r="F148" s="13">
        <f t="shared" si="71"/>
        <v>0</v>
      </c>
      <c r="G148" s="13">
        <f>980000+980000</f>
        <v>1960000</v>
      </c>
      <c r="H148" s="13">
        <f>220450.76+42048.73</f>
        <v>262499.49</v>
      </c>
      <c r="I148" s="13">
        <f t="shared" si="74"/>
        <v>2222499.4900000002</v>
      </c>
      <c r="J148" s="14">
        <f t="shared" si="72"/>
        <v>0</v>
      </c>
    </row>
    <row r="149" spans="1:11" ht="16.5" x14ac:dyDescent="0.3">
      <c r="A149" s="17" t="s">
        <v>276</v>
      </c>
      <c r="B149" s="18" t="s">
        <v>277</v>
      </c>
      <c r="C149" s="19">
        <f>SUM(C150:C157)</f>
        <v>980000</v>
      </c>
      <c r="D149" s="19">
        <f t="shared" ref="D149:F149" si="75">SUM(D150:D157)</f>
        <v>2765572.62</v>
      </c>
      <c r="E149" s="19">
        <f t="shared" si="75"/>
        <v>747586.79999999993</v>
      </c>
      <c r="F149" s="19">
        <f t="shared" si="75"/>
        <v>4493159.42</v>
      </c>
      <c r="G149" s="13"/>
      <c r="H149" s="13"/>
      <c r="I149" s="13">
        <f t="shared" si="74"/>
        <v>0</v>
      </c>
      <c r="J149" s="14">
        <f t="shared" si="72"/>
        <v>0</v>
      </c>
    </row>
    <row r="150" spans="1:11" x14ac:dyDescent="0.2">
      <c r="A150" s="27" t="s">
        <v>278</v>
      </c>
      <c r="B150" s="12" t="s">
        <v>279</v>
      </c>
      <c r="C150" s="13">
        <v>0</v>
      </c>
      <c r="D150" s="13">
        <v>1926616.71</v>
      </c>
      <c r="E150" s="13">
        <v>7571.01</v>
      </c>
      <c r="F150" s="13">
        <f t="shared" ref="F150:F157" si="76">SUM(C150:E150)</f>
        <v>1934187.72</v>
      </c>
      <c r="G150" s="13"/>
      <c r="H150" s="13"/>
      <c r="I150" s="13">
        <f t="shared" si="74"/>
        <v>0</v>
      </c>
      <c r="J150" s="14">
        <f t="shared" si="72"/>
        <v>0</v>
      </c>
    </row>
    <row r="151" spans="1:11" x14ac:dyDescent="0.2">
      <c r="A151" s="27" t="s">
        <v>280</v>
      </c>
      <c r="B151" s="12" t="s">
        <v>281</v>
      </c>
      <c r="C151" s="13">
        <v>980000</v>
      </c>
      <c r="D151" s="13">
        <v>385094.14</v>
      </c>
      <c r="E151" s="13">
        <v>114817.44</v>
      </c>
      <c r="F151" s="13">
        <f t="shared" si="76"/>
        <v>1479911.58</v>
      </c>
      <c r="G151" s="13"/>
      <c r="H151" s="13"/>
      <c r="I151" s="13">
        <f t="shared" si="74"/>
        <v>0</v>
      </c>
      <c r="J151" s="14">
        <f t="shared" si="72"/>
        <v>0</v>
      </c>
    </row>
    <row r="152" spans="1:11" x14ac:dyDescent="0.2">
      <c r="A152" s="27" t="s">
        <v>282</v>
      </c>
      <c r="B152" s="12" t="s">
        <v>283</v>
      </c>
      <c r="C152" s="13"/>
      <c r="D152" s="13">
        <v>7420.18</v>
      </c>
      <c r="E152" s="13"/>
      <c r="F152" s="13">
        <f t="shared" si="76"/>
        <v>7420.18</v>
      </c>
      <c r="G152" s="13"/>
      <c r="H152" s="13">
        <v>35848.400000000001</v>
      </c>
      <c r="I152" s="13">
        <f t="shared" si="74"/>
        <v>35848.400000000001</v>
      </c>
      <c r="J152" s="14">
        <f t="shared" si="72"/>
        <v>0</v>
      </c>
      <c r="K152" s="15"/>
    </row>
    <row r="153" spans="1:11" hidden="1" x14ac:dyDescent="0.2">
      <c r="A153" s="27" t="s">
        <v>284</v>
      </c>
      <c r="B153" s="12" t="s">
        <v>285</v>
      </c>
      <c r="C153" s="13"/>
      <c r="D153" s="13"/>
      <c r="E153" s="13"/>
      <c r="F153" s="13">
        <f t="shared" si="76"/>
        <v>0</v>
      </c>
      <c r="G153" s="13"/>
      <c r="H153" s="13"/>
      <c r="I153" s="13">
        <f t="shared" si="74"/>
        <v>0</v>
      </c>
      <c r="J153" s="14">
        <f t="shared" si="72"/>
        <v>0</v>
      </c>
    </row>
    <row r="154" spans="1:11" x14ac:dyDescent="0.2">
      <c r="A154" s="27" t="s">
        <v>286</v>
      </c>
      <c r="B154" s="12" t="s">
        <v>287</v>
      </c>
      <c r="C154" s="13"/>
      <c r="D154" s="13">
        <v>10008</v>
      </c>
      <c r="E154" s="13"/>
      <c r="F154" s="13">
        <f t="shared" si="76"/>
        <v>10008</v>
      </c>
      <c r="G154" s="13"/>
      <c r="H154" s="13">
        <f>2250+27480.97</f>
        <v>29730.97</v>
      </c>
      <c r="I154" s="13">
        <f t="shared" si="74"/>
        <v>29730.97</v>
      </c>
      <c r="J154" s="14">
        <f t="shared" si="72"/>
        <v>0</v>
      </c>
    </row>
    <row r="155" spans="1:11" x14ac:dyDescent="0.2">
      <c r="A155" s="27" t="s">
        <v>288</v>
      </c>
      <c r="B155" s="12" t="s">
        <v>289</v>
      </c>
      <c r="C155" s="13"/>
      <c r="D155" s="13">
        <v>225.01</v>
      </c>
      <c r="E155" s="13"/>
      <c r="F155" s="13">
        <f t="shared" si="76"/>
        <v>225.01</v>
      </c>
      <c r="G155" s="19">
        <f>SUM(G156:G164)</f>
        <v>0</v>
      </c>
      <c r="H155" s="19">
        <f t="shared" ref="H155:I155" si="77">SUM(H156:H164)</f>
        <v>9099907</v>
      </c>
      <c r="I155" s="19">
        <f t="shared" si="77"/>
        <v>9099907</v>
      </c>
      <c r="J155" s="14">
        <f t="shared" si="72"/>
        <v>0</v>
      </c>
    </row>
    <row r="156" spans="1:11" x14ac:dyDescent="0.2">
      <c r="A156" s="27" t="s">
        <v>290</v>
      </c>
      <c r="B156" s="12" t="s">
        <v>291</v>
      </c>
      <c r="C156" s="13"/>
      <c r="D156" s="13">
        <v>2091.3000000000002</v>
      </c>
      <c r="E156" s="13"/>
      <c r="F156" s="13">
        <f t="shared" si="76"/>
        <v>2091.3000000000002</v>
      </c>
      <c r="G156" s="13"/>
      <c r="H156" s="13">
        <f>262315.3+525592.71</f>
        <v>787908.01</v>
      </c>
      <c r="I156" s="13">
        <f t="shared" ref="I156:I164" si="78">SUM(G156:H156)</f>
        <v>787908.01</v>
      </c>
      <c r="J156" s="14">
        <f t="shared" si="72"/>
        <v>0</v>
      </c>
    </row>
    <row r="157" spans="1:11" x14ac:dyDescent="0.2">
      <c r="A157" s="27" t="s">
        <v>292</v>
      </c>
      <c r="B157" s="12" t="s">
        <v>293</v>
      </c>
      <c r="C157" s="13"/>
      <c r="D157" s="13">
        <v>434117.28</v>
      </c>
      <c r="E157" s="13">
        <v>625198.35</v>
      </c>
      <c r="F157" s="13">
        <f t="shared" si="76"/>
        <v>1059315.6299999999</v>
      </c>
      <c r="G157" s="13"/>
      <c r="H157" s="13">
        <f>3872.5+19862.9</f>
        <v>23735.4</v>
      </c>
      <c r="I157" s="13">
        <f t="shared" si="78"/>
        <v>23735.4</v>
      </c>
      <c r="J157" s="14">
        <f t="shared" si="72"/>
        <v>0</v>
      </c>
    </row>
    <row r="158" spans="1:11" ht="16.5" x14ac:dyDescent="0.3">
      <c r="A158" s="17" t="s">
        <v>294</v>
      </c>
      <c r="B158" s="18" t="s">
        <v>295</v>
      </c>
      <c r="C158" s="19">
        <f>SUM(C159:C167)</f>
        <v>0</v>
      </c>
      <c r="D158" s="19">
        <f t="shared" ref="D158:F158" si="79">SUM(D159:D167)</f>
        <v>5027824.1399999997</v>
      </c>
      <c r="E158" s="19">
        <f t="shared" si="79"/>
        <v>801248.6</v>
      </c>
      <c r="F158" s="19">
        <f t="shared" si="79"/>
        <v>5829072.7400000002</v>
      </c>
      <c r="G158" s="13"/>
      <c r="H158" s="13"/>
      <c r="I158" s="13">
        <f t="shared" si="78"/>
        <v>0</v>
      </c>
      <c r="J158" s="14">
        <f t="shared" si="72"/>
        <v>0</v>
      </c>
    </row>
    <row r="159" spans="1:11" x14ac:dyDescent="0.2">
      <c r="A159" s="27" t="s">
        <v>296</v>
      </c>
      <c r="B159" s="12" t="s">
        <v>297</v>
      </c>
      <c r="C159" s="13"/>
      <c r="D159" s="13">
        <v>616459.76</v>
      </c>
      <c r="E159" s="13">
        <v>519643.35</v>
      </c>
      <c r="F159" s="13">
        <f>SUM(C159:E159)</f>
        <v>1136103.1099999999</v>
      </c>
      <c r="G159" s="13"/>
      <c r="H159" s="13"/>
      <c r="I159" s="13">
        <f t="shared" si="78"/>
        <v>0</v>
      </c>
      <c r="J159" s="14">
        <f t="shared" si="72"/>
        <v>0</v>
      </c>
    </row>
    <row r="160" spans="1:11" x14ac:dyDescent="0.2">
      <c r="A160" s="27" t="s">
        <v>298</v>
      </c>
      <c r="B160" s="12" t="s">
        <v>299</v>
      </c>
      <c r="C160" s="13"/>
      <c r="D160" s="13">
        <v>2564725.91</v>
      </c>
      <c r="E160" s="13">
        <v>23564.97</v>
      </c>
      <c r="F160" s="13">
        <f t="shared" ref="F160:F167" si="80">SUM(C160:E160)</f>
        <v>2588290.8800000004</v>
      </c>
      <c r="G160" s="13"/>
      <c r="H160" s="13">
        <f>3195+9204</f>
        <v>12399</v>
      </c>
      <c r="I160" s="13">
        <f t="shared" si="78"/>
        <v>12399</v>
      </c>
      <c r="J160" s="14">
        <f t="shared" si="72"/>
        <v>0</v>
      </c>
    </row>
    <row r="161" spans="1:10" hidden="1" x14ac:dyDescent="0.2">
      <c r="A161" s="27" t="s">
        <v>300</v>
      </c>
      <c r="B161" s="12" t="s">
        <v>301</v>
      </c>
      <c r="C161" s="13"/>
      <c r="D161" s="13"/>
      <c r="E161" s="13"/>
      <c r="F161" s="13">
        <f t="shared" si="80"/>
        <v>0</v>
      </c>
      <c r="G161" s="13"/>
      <c r="H161" s="13">
        <f>24907.38+127158.38</f>
        <v>152065.76</v>
      </c>
      <c r="I161" s="13">
        <f t="shared" si="78"/>
        <v>152065.76</v>
      </c>
      <c r="J161" s="14">
        <f t="shared" si="72"/>
        <v>0</v>
      </c>
    </row>
    <row r="162" spans="1:10" x14ac:dyDescent="0.2">
      <c r="A162" s="27" t="s">
        <v>302</v>
      </c>
      <c r="B162" s="12" t="s">
        <v>303</v>
      </c>
      <c r="C162" s="13"/>
      <c r="D162" s="13">
        <v>9250</v>
      </c>
      <c r="E162" s="13"/>
      <c r="F162" s="13">
        <f t="shared" si="80"/>
        <v>9250</v>
      </c>
      <c r="G162" s="13"/>
      <c r="H162" s="13">
        <f>211495.73</f>
        <v>211495.73</v>
      </c>
      <c r="I162" s="13">
        <f t="shared" si="78"/>
        <v>211495.73</v>
      </c>
      <c r="J162" s="14">
        <f t="shared" si="72"/>
        <v>0</v>
      </c>
    </row>
    <row r="163" spans="1:10" x14ac:dyDescent="0.2">
      <c r="A163" s="27" t="s">
        <v>304</v>
      </c>
      <c r="B163" s="12" t="s">
        <v>305</v>
      </c>
      <c r="C163" s="13"/>
      <c r="D163" s="13">
        <v>1664.99</v>
      </c>
      <c r="E163" s="13">
        <v>41300</v>
      </c>
      <c r="F163" s="13">
        <f t="shared" si="80"/>
        <v>42964.99</v>
      </c>
      <c r="G163" s="13"/>
      <c r="H163" s="13">
        <v>28303.1</v>
      </c>
      <c r="I163" s="13">
        <f t="shared" si="78"/>
        <v>28303.1</v>
      </c>
      <c r="J163" s="14">
        <f t="shared" si="72"/>
        <v>0</v>
      </c>
    </row>
    <row r="164" spans="1:10" x14ac:dyDescent="0.2">
      <c r="A164" s="27" t="s">
        <v>306</v>
      </c>
      <c r="B164" s="12" t="s">
        <v>307</v>
      </c>
      <c r="C164" s="13"/>
      <c r="D164" s="13">
        <v>1720401.59</v>
      </c>
      <c r="E164" s="13">
        <v>206378.68</v>
      </c>
      <c r="F164" s="13">
        <f t="shared" si="80"/>
        <v>1926780.27</v>
      </c>
      <c r="G164" s="36">
        <v>0</v>
      </c>
      <c r="H164" s="36">
        <v>7884000</v>
      </c>
      <c r="I164" s="13">
        <f t="shared" si="78"/>
        <v>7884000</v>
      </c>
      <c r="J164" s="14">
        <f t="shared" si="72"/>
        <v>0</v>
      </c>
    </row>
    <row r="165" spans="1:10" ht="13.5" hidden="1" thickBot="1" x14ac:dyDescent="0.25">
      <c r="A165" s="27" t="s">
        <v>308</v>
      </c>
      <c r="B165" s="12" t="s">
        <v>309</v>
      </c>
      <c r="C165" s="13"/>
      <c r="D165" s="13"/>
      <c r="E165" s="13"/>
      <c r="F165" s="13">
        <f t="shared" si="80"/>
        <v>0</v>
      </c>
      <c r="G165" s="7">
        <f>G173</f>
        <v>0</v>
      </c>
      <c r="H165" s="7">
        <f>H173+H166</f>
        <v>11759053.1</v>
      </c>
      <c r="I165" s="7">
        <f>+I166+I173</f>
        <v>11759053.1</v>
      </c>
      <c r="J165" s="14">
        <f t="shared" si="72"/>
        <v>0</v>
      </c>
    </row>
    <row r="166" spans="1:10" ht="13.5" thickBot="1" x14ac:dyDescent="0.25">
      <c r="A166" s="27" t="s">
        <v>310</v>
      </c>
      <c r="B166" s="12" t="s">
        <v>311</v>
      </c>
      <c r="C166" s="13"/>
      <c r="D166" s="13">
        <v>115321.89</v>
      </c>
      <c r="E166" s="13">
        <v>10361.6</v>
      </c>
      <c r="F166" s="13">
        <f t="shared" si="80"/>
        <v>125683.49</v>
      </c>
      <c r="G166" s="19">
        <f>SUM(G167:G172)</f>
        <v>0</v>
      </c>
      <c r="H166" s="19">
        <f>SUM(H167:H172)</f>
        <v>10000</v>
      </c>
      <c r="I166" s="19">
        <f t="shared" ref="I166" si="81">SUM(I167:I172)</f>
        <v>10000</v>
      </c>
      <c r="J166" s="14">
        <f t="shared" si="72"/>
        <v>0</v>
      </c>
    </row>
    <row r="167" spans="1:10" ht="13.5" hidden="1" thickBot="1" x14ac:dyDescent="0.25">
      <c r="A167" s="37" t="s">
        <v>312</v>
      </c>
      <c r="B167" s="38" t="s">
        <v>313</v>
      </c>
      <c r="C167" s="36">
        <v>0</v>
      </c>
      <c r="D167" s="39"/>
      <c r="E167" s="36"/>
      <c r="F167" s="13">
        <f t="shared" si="80"/>
        <v>0</v>
      </c>
      <c r="G167" s="40"/>
      <c r="H167" s="40"/>
      <c r="I167" s="13">
        <f t="shared" ref="I167:I172" si="82">SUM(G167:H167)</f>
        <v>0</v>
      </c>
      <c r="J167" s="14">
        <f t="shared" si="72"/>
        <v>0</v>
      </c>
    </row>
    <row r="168" spans="1:10" ht="16.5" thickBot="1" x14ac:dyDescent="0.3">
      <c r="A168" s="5">
        <v>2.4</v>
      </c>
      <c r="B168" s="6" t="s">
        <v>314</v>
      </c>
      <c r="C168" s="7">
        <f>C177</f>
        <v>0</v>
      </c>
      <c r="D168" s="7">
        <f>+D169+D177</f>
        <v>28568377.270000003</v>
      </c>
      <c r="E168" s="7">
        <f>E177+E169</f>
        <v>6547058.6100000003</v>
      </c>
      <c r="F168" s="7">
        <f>F177+F169</f>
        <v>35115435.880000003</v>
      </c>
      <c r="G168" s="13"/>
      <c r="H168" s="13">
        <v>10000</v>
      </c>
      <c r="I168" s="13">
        <f t="shared" si="82"/>
        <v>10000</v>
      </c>
      <c r="J168" s="14">
        <f t="shared" si="72"/>
        <v>0</v>
      </c>
    </row>
    <row r="169" spans="1:10" ht="16.5" x14ac:dyDescent="0.3">
      <c r="A169" s="17" t="s">
        <v>315</v>
      </c>
      <c r="B169" s="18" t="s">
        <v>316</v>
      </c>
      <c r="C169" s="19">
        <f>SUM(C170:C176)</f>
        <v>0</v>
      </c>
      <c r="D169" s="19">
        <f>SUM(D170:D176)</f>
        <v>1246710.6000000001</v>
      </c>
      <c r="E169" s="19">
        <f>SUM(E170:E176)</f>
        <v>470000</v>
      </c>
      <c r="F169" s="19">
        <f>SUM(F170:F176)</f>
        <v>1716710.6</v>
      </c>
      <c r="G169" s="13"/>
      <c r="H169" s="13"/>
      <c r="I169" s="13">
        <f t="shared" si="82"/>
        <v>0</v>
      </c>
      <c r="J169" s="14">
        <f t="shared" si="72"/>
        <v>0</v>
      </c>
    </row>
    <row r="170" spans="1:10" s="43" customFormat="1" ht="16.5" hidden="1" x14ac:dyDescent="0.3">
      <c r="A170" s="41" t="s">
        <v>317</v>
      </c>
      <c r="B170" s="42" t="s">
        <v>318</v>
      </c>
      <c r="C170" s="40"/>
      <c r="D170" s="20">
        <v>0</v>
      </c>
      <c r="E170" s="40"/>
      <c r="F170" s="13">
        <f>SUM(C170:E170)</f>
        <v>0</v>
      </c>
      <c r="G170" s="13"/>
      <c r="H170" s="13"/>
      <c r="I170" s="13">
        <f t="shared" si="82"/>
        <v>0</v>
      </c>
      <c r="J170" s="14">
        <f t="shared" si="72"/>
        <v>0</v>
      </c>
    </row>
    <row r="171" spans="1:10" x14ac:dyDescent="0.2">
      <c r="A171" s="27" t="s">
        <v>319</v>
      </c>
      <c r="B171" s="12" t="s">
        <v>320</v>
      </c>
      <c r="C171" s="13"/>
      <c r="D171" s="13">
        <v>135584</v>
      </c>
      <c r="E171" s="13">
        <v>2000</v>
      </c>
      <c r="F171" s="13">
        <f t="shared" ref="F171:F176" si="83">SUM(C171:E171)</f>
        <v>137584</v>
      </c>
      <c r="G171" s="13"/>
      <c r="H171" s="13"/>
      <c r="I171" s="13">
        <f t="shared" si="82"/>
        <v>0</v>
      </c>
      <c r="J171" s="14">
        <f t="shared" si="72"/>
        <v>0</v>
      </c>
    </row>
    <row r="172" spans="1:10" x14ac:dyDescent="0.2">
      <c r="A172" s="27" t="s">
        <v>321</v>
      </c>
      <c r="B172" s="12" t="s">
        <v>322</v>
      </c>
      <c r="C172" s="13"/>
      <c r="D172" s="15">
        <v>1066126.6000000001</v>
      </c>
      <c r="E172" s="13"/>
      <c r="F172" s="13">
        <f>SUM(C172:E172)</f>
        <v>1066126.6000000001</v>
      </c>
      <c r="G172" s="13"/>
      <c r="H172" s="13"/>
      <c r="I172" s="13">
        <f t="shared" si="82"/>
        <v>0</v>
      </c>
      <c r="J172" s="14">
        <f t="shared" si="72"/>
        <v>0</v>
      </c>
    </row>
    <row r="173" spans="1:10" hidden="1" x14ac:dyDescent="0.2">
      <c r="A173" s="27" t="s">
        <v>323</v>
      </c>
      <c r="B173" s="12" t="s">
        <v>324</v>
      </c>
      <c r="C173" s="13"/>
      <c r="D173" s="13"/>
      <c r="E173" s="13"/>
      <c r="F173" s="13">
        <f t="shared" si="83"/>
        <v>0</v>
      </c>
      <c r="G173" s="19">
        <f>SUM(G174:G176)</f>
        <v>0</v>
      </c>
      <c r="H173" s="19">
        <f t="shared" ref="H173:I173" si="84">SUM(H174:H176)</f>
        <v>11749053.1</v>
      </c>
      <c r="I173" s="19">
        <f t="shared" si="84"/>
        <v>11749053.1</v>
      </c>
      <c r="J173" s="14">
        <f t="shared" si="72"/>
        <v>0</v>
      </c>
    </row>
    <row r="174" spans="1:10" x14ac:dyDescent="0.2">
      <c r="A174" s="27" t="s">
        <v>325</v>
      </c>
      <c r="B174" s="12" t="s">
        <v>326</v>
      </c>
      <c r="C174" s="13"/>
      <c r="D174" s="13">
        <v>45000</v>
      </c>
      <c r="E174" s="13"/>
      <c r="F174" s="13">
        <f t="shared" si="83"/>
        <v>45000</v>
      </c>
      <c r="G174" s="13">
        <v>0</v>
      </c>
      <c r="H174" s="13">
        <f>5932799.77+5816253.33</f>
        <v>11749053.1</v>
      </c>
      <c r="I174" s="13">
        <f>SUM(G174:H174)</f>
        <v>11749053.1</v>
      </c>
      <c r="J174" s="14">
        <f t="shared" si="72"/>
        <v>0</v>
      </c>
    </row>
    <row r="175" spans="1:10" ht="13.5" thickBot="1" x14ac:dyDescent="0.25">
      <c r="A175" s="27" t="s">
        <v>327</v>
      </c>
      <c r="B175" s="12" t="s">
        <v>328</v>
      </c>
      <c r="C175" s="13"/>
      <c r="D175" s="13"/>
      <c r="E175" s="13">
        <v>468000</v>
      </c>
      <c r="F175" s="13">
        <f t="shared" si="83"/>
        <v>468000</v>
      </c>
      <c r="G175" s="13"/>
      <c r="H175" s="13"/>
      <c r="I175" s="13">
        <f>SUM(G175:H175)</f>
        <v>0</v>
      </c>
      <c r="J175" s="14">
        <f t="shared" si="72"/>
        <v>0</v>
      </c>
    </row>
    <row r="176" spans="1:10" ht="13.5" hidden="1" thickBot="1" x14ac:dyDescent="0.25">
      <c r="A176" s="27" t="s">
        <v>329</v>
      </c>
      <c r="B176" s="12" t="s">
        <v>330</v>
      </c>
      <c r="C176" s="13"/>
      <c r="D176" s="13">
        <v>0</v>
      </c>
      <c r="E176" s="13"/>
      <c r="F176" s="13">
        <f t="shared" si="83"/>
        <v>0</v>
      </c>
      <c r="G176" s="13"/>
      <c r="H176" s="13"/>
      <c r="I176" s="13">
        <f>SUM(G176:H176)</f>
        <v>0</v>
      </c>
      <c r="J176" s="14">
        <f t="shared" si="72"/>
        <v>0</v>
      </c>
    </row>
    <row r="177" spans="1:10" ht="17.25" thickBot="1" x14ac:dyDescent="0.35">
      <c r="A177" s="17" t="s">
        <v>331</v>
      </c>
      <c r="B177" s="18" t="s">
        <v>332</v>
      </c>
      <c r="C177" s="19">
        <f>SUM(C178:C180)</f>
        <v>0</v>
      </c>
      <c r="D177" s="19">
        <f t="shared" ref="D177:F177" si="85">SUM(D178:D180)</f>
        <v>27321666.670000002</v>
      </c>
      <c r="E177" s="19">
        <f t="shared" si="85"/>
        <v>6077058.6100000003</v>
      </c>
      <c r="F177" s="19">
        <f t="shared" si="85"/>
        <v>33398725.280000001</v>
      </c>
      <c r="G177" s="7">
        <f>G178</f>
        <v>0</v>
      </c>
      <c r="H177" s="7" t="e">
        <f>+H178+H185+H190+H193+H200+H204+#REF!</f>
        <v>#REF!</v>
      </c>
      <c r="I177" s="7" t="e">
        <f>SUM(G177:H177)</f>
        <v>#REF!</v>
      </c>
      <c r="J177" s="14">
        <f t="shared" si="72"/>
        <v>0</v>
      </c>
    </row>
    <row r="178" spans="1:10" ht="15.75" thickBot="1" x14ac:dyDescent="0.3">
      <c r="A178" s="27" t="s">
        <v>333</v>
      </c>
      <c r="B178" s="12" t="s">
        <v>334</v>
      </c>
      <c r="C178" s="13">
        <v>0</v>
      </c>
      <c r="D178" s="44">
        <v>27321666.670000002</v>
      </c>
      <c r="E178" s="13">
        <v>6077058.6100000003</v>
      </c>
      <c r="F178" s="13">
        <f>SUM(C178:E178)</f>
        <v>33398725.280000001</v>
      </c>
      <c r="G178" s="25">
        <f>SUM(G179:G184)</f>
        <v>0</v>
      </c>
      <c r="H178" s="25">
        <f t="shared" ref="H178:I178" si="86">SUM(H179:H184)</f>
        <v>1631711.26</v>
      </c>
      <c r="I178" s="25">
        <f t="shared" si="86"/>
        <v>1631711.26</v>
      </c>
      <c r="J178" s="14">
        <f t="shared" si="72"/>
        <v>0</v>
      </c>
    </row>
    <row r="179" spans="1:10" hidden="1" x14ac:dyDescent="0.2">
      <c r="A179" s="27" t="s">
        <v>335</v>
      </c>
      <c r="B179" s="12" t="s">
        <v>336</v>
      </c>
      <c r="C179" s="13"/>
      <c r="D179" s="13">
        <v>0</v>
      </c>
      <c r="E179" s="13"/>
      <c r="F179" s="13">
        <f t="shared" ref="F179:F180" si="87">SUM(C179:E179)</f>
        <v>0</v>
      </c>
      <c r="G179" s="13"/>
      <c r="H179" s="13">
        <f>798860+343616+97304.76</f>
        <v>1239780.76</v>
      </c>
      <c r="I179" s="13">
        <f t="shared" ref="I179:I184" si="88">SUM(G179:H179)</f>
        <v>1239780.76</v>
      </c>
      <c r="J179" s="14">
        <f t="shared" si="72"/>
        <v>0</v>
      </c>
    </row>
    <row r="180" spans="1:10" ht="13.5" hidden="1" thickBot="1" x14ac:dyDescent="0.25">
      <c r="A180" s="23" t="s">
        <v>337</v>
      </c>
      <c r="B180" s="12" t="s">
        <v>338</v>
      </c>
      <c r="C180" s="13"/>
      <c r="D180" s="13"/>
      <c r="E180" s="13"/>
      <c r="F180" s="13">
        <f t="shared" si="87"/>
        <v>0</v>
      </c>
      <c r="G180" s="13"/>
      <c r="H180" s="13"/>
      <c r="I180" s="13">
        <f t="shared" si="88"/>
        <v>0</v>
      </c>
      <c r="J180" s="14">
        <f t="shared" si="72"/>
        <v>0</v>
      </c>
    </row>
    <row r="181" spans="1:10" ht="16.5" thickBot="1" x14ac:dyDescent="0.3">
      <c r="A181" s="5">
        <v>2.6</v>
      </c>
      <c r="B181" s="6" t="s">
        <v>339</v>
      </c>
      <c r="C181" s="7">
        <f>C182</f>
        <v>0</v>
      </c>
      <c r="D181" s="7">
        <f>+D182+D189+D194+D197+D204+D208+D213</f>
        <v>6613523.7599999998</v>
      </c>
      <c r="E181" s="7">
        <f>+E182+E189+E194+E197+E204+E208+E213</f>
        <v>278431.21999999997</v>
      </c>
      <c r="F181" s="7">
        <f>SUM(C181:E181)</f>
        <v>6891954.9799999995</v>
      </c>
      <c r="G181" s="13"/>
      <c r="H181" s="13">
        <f>127247.18+89338.86</f>
        <v>216586.03999999998</v>
      </c>
      <c r="I181" s="13">
        <f t="shared" si="88"/>
        <v>216586.03999999998</v>
      </c>
      <c r="J181" s="14">
        <f t="shared" si="72"/>
        <v>0</v>
      </c>
    </row>
    <row r="182" spans="1:10" ht="16.5" x14ac:dyDescent="0.3">
      <c r="A182" s="8" t="s">
        <v>340</v>
      </c>
      <c r="B182" s="9" t="s">
        <v>341</v>
      </c>
      <c r="C182" s="25">
        <f>SUM(C183:C188)</f>
        <v>0</v>
      </c>
      <c r="D182" s="25">
        <f>SUM(D183:D188)</f>
        <v>4956990.05</v>
      </c>
      <c r="E182" s="25">
        <f t="shared" ref="E182:F182" si="89">SUM(E183:E188)</f>
        <v>272649.21999999997</v>
      </c>
      <c r="F182" s="25">
        <f t="shared" si="89"/>
        <v>5229639.2699999996</v>
      </c>
      <c r="G182" s="13"/>
      <c r="H182" s="13">
        <v>0</v>
      </c>
      <c r="I182" s="13">
        <f t="shared" si="88"/>
        <v>0</v>
      </c>
      <c r="J182" s="14">
        <f t="shared" si="72"/>
        <v>0</v>
      </c>
    </row>
    <row r="183" spans="1:10" x14ac:dyDescent="0.2">
      <c r="A183" s="27" t="s">
        <v>342</v>
      </c>
      <c r="B183" s="12" t="s">
        <v>343</v>
      </c>
      <c r="C183" s="13"/>
      <c r="D183" s="13">
        <v>1553333.97</v>
      </c>
      <c r="E183" s="13">
        <v>97304.76</v>
      </c>
      <c r="F183" s="13">
        <f>SUM(C183:E183)</f>
        <v>1650638.73</v>
      </c>
      <c r="G183" s="13"/>
      <c r="H183" s="13">
        <v>175344.46</v>
      </c>
      <c r="I183" s="13">
        <f t="shared" si="88"/>
        <v>175344.46</v>
      </c>
      <c r="J183" s="14">
        <f t="shared" si="72"/>
        <v>0</v>
      </c>
    </row>
    <row r="184" spans="1:10" hidden="1" x14ac:dyDescent="0.2">
      <c r="A184" s="27" t="s">
        <v>344</v>
      </c>
      <c r="B184" s="12" t="s">
        <v>345</v>
      </c>
      <c r="C184" s="13"/>
      <c r="D184" s="13"/>
      <c r="E184" s="13"/>
      <c r="F184" s="13">
        <f t="shared" ref="F184:F188" si="90">SUM(C184:E184)</f>
        <v>0</v>
      </c>
      <c r="G184" s="13"/>
      <c r="H184" s="13">
        <v>0</v>
      </c>
      <c r="I184" s="13">
        <f t="shared" si="88"/>
        <v>0</v>
      </c>
      <c r="J184" s="14">
        <f t="shared" si="72"/>
        <v>0</v>
      </c>
    </row>
    <row r="185" spans="1:10" x14ac:dyDescent="0.2">
      <c r="A185" s="27" t="s">
        <v>346</v>
      </c>
      <c r="B185" s="12" t="s">
        <v>347</v>
      </c>
      <c r="C185" s="13"/>
      <c r="D185" s="13">
        <v>2523608.7799999998</v>
      </c>
      <c r="E185" s="13"/>
      <c r="F185" s="13">
        <f t="shared" si="90"/>
        <v>2523608.7799999998</v>
      </c>
      <c r="G185" s="19">
        <f>SUM(G186:G189)</f>
        <v>0</v>
      </c>
      <c r="H185" s="19">
        <f t="shared" ref="H185" si="91">SUM(H186:H189)</f>
        <v>0</v>
      </c>
      <c r="I185" s="19">
        <f>SUM(I186:I189)</f>
        <v>0</v>
      </c>
      <c r="J185" s="14">
        <f t="shared" si="72"/>
        <v>0</v>
      </c>
    </row>
    <row r="186" spans="1:10" x14ac:dyDescent="0.2">
      <c r="A186" s="27" t="s">
        <v>348</v>
      </c>
      <c r="B186" s="12" t="s">
        <v>349</v>
      </c>
      <c r="C186" s="13"/>
      <c r="D186" s="13">
        <v>658436.46</v>
      </c>
      <c r="E186" s="13">
        <v>0</v>
      </c>
      <c r="F186" s="13">
        <f t="shared" si="90"/>
        <v>658436.46</v>
      </c>
      <c r="G186" s="13"/>
      <c r="H186" s="13">
        <v>0</v>
      </c>
      <c r="I186" s="13">
        <f>SUM(G186:H186)</f>
        <v>0</v>
      </c>
      <c r="J186" s="14">
        <f t="shared" si="72"/>
        <v>0</v>
      </c>
    </row>
    <row r="187" spans="1:10" x14ac:dyDescent="0.2">
      <c r="A187" s="27" t="s">
        <v>350</v>
      </c>
      <c r="B187" s="12" t="s">
        <v>351</v>
      </c>
      <c r="C187" s="13"/>
      <c r="D187" s="13"/>
      <c r="E187" s="13">
        <v>175344.46</v>
      </c>
      <c r="F187" s="13">
        <f t="shared" si="90"/>
        <v>175344.46</v>
      </c>
      <c r="G187" s="13"/>
      <c r="H187" s="13"/>
      <c r="I187" s="13">
        <f>SUM(G187:H187)</f>
        <v>0</v>
      </c>
      <c r="J187" s="14">
        <f t="shared" si="72"/>
        <v>0</v>
      </c>
    </row>
    <row r="188" spans="1:10" x14ac:dyDescent="0.2">
      <c r="A188" s="27" t="s">
        <v>352</v>
      </c>
      <c r="B188" s="12" t="s">
        <v>353</v>
      </c>
      <c r="C188" s="13"/>
      <c r="D188" s="13">
        <v>221610.84</v>
      </c>
      <c r="E188" s="13">
        <v>0</v>
      </c>
      <c r="F188" s="13">
        <f t="shared" si="90"/>
        <v>221610.84</v>
      </c>
      <c r="G188" s="13"/>
      <c r="H188" s="13"/>
      <c r="I188" s="13">
        <f>SUM(G188:H188)</f>
        <v>0</v>
      </c>
      <c r="J188" s="14">
        <f t="shared" si="72"/>
        <v>0</v>
      </c>
    </row>
    <row r="189" spans="1:10" ht="16.5" hidden="1" x14ac:dyDescent="0.3">
      <c r="A189" s="17" t="s">
        <v>354</v>
      </c>
      <c r="B189" s="18" t="s">
        <v>355</v>
      </c>
      <c r="C189" s="19">
        <f>SUM(C190:C193)</f>
        <v>0</v>
      </c>
      <c r="D189" s="19">
        <f t="shared" ref="D189:E189" si="92">SUM(D190:D193)</f>
        <v>0</v>
      </c>
      <c r="E189" s="19">
        <f t="shared" si="92"/>
        <v>0</v>
      </c>
      <c r="F189" s="19">
        <f>SUM(F190:F193)</f>
        <v>0</v>
      </c>
      <c r="G189" s="13"/>
      <c r="H189" s="13"/>
      <c r="I189" s="13">
        <f>SUM(G189:H189)</f>
        <v>0</v>
      </c>
      <c r="J189" s="14">
        <f t="shared" si="72"/>
        <v>0</v>
      </c>
    </row>
    <row r="190" spans="1:10" hidden="1" x14ac:dyDescent="0.2">
      <c r="A190" s="27" t="s">
        <v>356</v>
      </c>
      <c r="B190" s="12" t="s">
        <v>357</v>
      </c>
      <c r="C190" s="13"/>
      <c r="D190" s="13"/>
      <c r="E190" s="13">
        <v>0</v>
      </c>
      <c r="F190" s="13">
        <f t="shared" ref="F190:F193" si="93">SUM(C190:E190)</f>
        <v>0</v>
      </c>
      <c r="G190" s="19">
        <f>SUM(G191:G192)</f>
        <v>0</v>
      </c>
      <c r="H190" s="19">
        <f t="shared" ref="H190:I190" si="94">SUM(H191:H192)</f>
        <v>0</v>
      </c>
      <c r="I190" s="19">
        <f t="shared" si="94"/>
        <v>0</v>
      </c>
      <c r="J190" s="14">
        <f t="shared" si="72"/>
        <v>0</v>
      </c>
    </row>
    <row r="191" spans="1:10" hidden="1" x14ac:dyDescent="0.2">
      <c r="A191" s="27" t="s">
        <v>358</v>
      </c>
      <c r="B191" s="12" t="s">
        <v>359</v>
      </c>
      <c r="C191" s="13"/>
      <c r="D191" s="13"/>
      <c r="E191" s="13"/>
      <c r="F191" s="13">
        <f t="shared" si="93"/>
        <v>0</v>
      </c>
      <c r="G191" s="13"/>
      <c r="H191" s="13"/>
      <c r="I191" s="13"/>
      <c r="J191" s="14">
        <f t="shared" si="72"/>
        <v>0</v>
      </c>
    </row>
    <row r="192" spans="1:10" hidden="1" x14ac:dyDescent="0.2">
      <c r="A192" s="27" t="s">
        <v>360</v>
      </c>
      <c r="B192" s="12" t="s">
        <v>361</v>
      </c>
      <c r="C192" s="13"/>
      <c r="D192" s="13"/>
      <c r="E192" s="13"/>
      <c r="F192" s="13">
        <f t="shared" si="93"/>
        <v>0</v>
      </c>
      <c r="G192" s="13"/>
      <c r="H192" s="13"/>
      <c r="I192" s="13">
        <f>SUM(G192:H192)</f>
        <v>0</v>
      </c>
      <c r="J192" s="14">
        <f t="shared" si="72"/>
        <v>0</v>
      </c>
    </row>
    <row r="193" spans="1:10" hidden="1" x14ac:dyDescent="0.2">
      <c r="A193" s="27" t="s">
        <v>362</v>
      </c>
      <c r="B193" s="12" t="s">
        <v>363</v>
      </c>
      <c r="C193" s="13"/>
      <c r="D193" s="13"/>
      <c r="E193" s="13"/>
      <c r="F193" s="13">
        <f t="shared" si="93"/>
        <v>0</v>
      </c>
      <c r="G193" s="19">
        <f>SUM(G194:G199)</f>
        <v>0</v>
      </c>
      <c r="H193" s="19">
        <f t="shared" ref="H193:I193" si="95">SUM(H194:H199)</f>
        <v>805614.16</v>
      </c>
      <c r="I193" s="19" t="e">
        <f t="shared" si="95"/>
        <v>#REF!</v>
      </c>
      <c r="J193" s="14">
        <f t="shared" si="72"/>
        <v>0</v>
      </c>
    </row>
    <row r="194" spans="1:10" ht="16.5" hidden="1" x14ac:dyDescent="0.3">
      <c r="A194" s="17" t="s">
        <v>364</v>
      </c>
      <c r="B194" s="18" t="s">
        <v>365</v>
      </c>
      <c r="C194" s="19">
        <f>SUM(C195:C196)</f>
        <v>0</v>
      </c>
      <c r="D194" s="19">
        <f t="shared" ref="D194:F194" si="96">SUM(D195:D196)</f>
        <v>0</v>
      </c>
      <c r="E194" s="19">
        <f t="shared" si="96"/>
        <v>0</v>
      </c>
      <c r="F194" s="19">
        <f t="shared" si="96"/>
        <v>0</v>
      </c>
      <c r="G194" s="13"/>
      <c r="H194" s="13"/>
      <c r="I194" s="13" t="e">
        <f>+H194+#REF!+G194</f>
        <v>#REF!</v>
      </c>
      <c r="J194" s="14">
        <f t="shared" si="72"/>
        <v>0</v>
      </c>
    </row>
    <row r="195" spans="1:10" hidden="1" x14ac:dyDescent="0.2">
      <c r="A195" s="27" t="s">
        <v>366</v>
      </c>
      <c r="B195" s="12" t="s">
        <v>367</v>
      </c>
      <c r="C195" s="13"/>
      <c r="D195" s="13"/>
      <c r="E195" s="13"/>
      <c r="F195" s="13"/>
      <c r="G195" s="13"/>
      <c r="H195" s="13"/>
      <c r="I195" s="45">
        <f>SUM(G195:H195)</f>
        <v>0</v>
      </c>
      <c r="J195" s="14">
        <f t="shared" si="72"/>
        <v>0</v>
      </c>
    </row>
    <row r="196" spans="1:10" hidden="1" x14ac:dyDescent="0.2">
      <c r="A196" s="27" t="s">
        <v>368</v>
      </c>
      <c r="B196" s="12" t="s">
        <v>369</v>
      </c>
      <c r="C196" s="13"/>
      <c r="D196" s="13"/>
      <c r="E196" s="13"/>
      <c r="F196" s="13">
        <f>SUM(C196:E196)</f>
        <v>0</v>
      </c>
      <c r="G196" s="13"/>
      <c r="H196" s="13"/>
      <c r="I196" s="13">
        <f>SUM(G196:H196)</f>
        <v>0</v>
      </c>
      <c r="J196" s="14">
        <f t="shared" si="72"/>
        <v>0</v>
      </c>
    </row>
    <row r="197" spans="1:10" ht="16.5" x14ac:dyDescent="0.3">
      <c r="A197" s="17" t="s">
        <v>370</v>
      </c>
      <c r="B197" s="18" t="s">
        <v>371</v>
      </c>
      <c r="C197" s="19">
        <f>SUM(C198:C203)</f>
        <v>0</v>
      </c>
      <c r="D197" s="19">
        <f>SUM(D198:D203)</f>
        <v>744539.21</v>
      </c>
      <c r="E197" s="19">
        <f t="shared" ref="E197:F197" si="97">SUM(E198:E203)</f>
        <v>0</v>
      </c>
      <c r="F197" s="19">
        <f t="shared" si="97"/>
        <v>744539.21</v>
      </c>
      <c r="G197" s="13">
        <v>0</v>
      </c>
      <c r="H197" s="13">
        <v>805614.16</v>
      </c>
      <c r="I197" s="13" t="e">
        <f>+H197+#REF!+G197</f>
        <v>#REF!</v>
      </c>
      <c r="J197" s="14">
        <f t="shared" si="72"/>
        <v>0</v>
      </c>
    </row>
    <row r="198" spans="1:10" x14ac:dyDescent="0.2">
      <c r="A198" s="27" t="s">
        <v>372</v>
      </c>
      <c r="B198" s="12" t="s">
        <v>373</v>
      </c>
      <c r="C198" s="13"/>
      <c r="D198" s="13">
        <v>155989.20000000001</v>
      </c>
      <c r="E198" s="13"/>
      <c r="F198" s="13">
        <f>SUM(C198:E198)</f>
        <v>155989.20000000001</v>
      </c>
      <c r="G198" s="13"/>
      <c r="H198" s="13">
        <v>0</v>
      </c>
      <c r="I198" s="13">
        <f>SUM(G198:H198)</f>
        <v>0</v>
      </c>
      <c r="J198" s="14">
        <f t="shared" si="72"/>
        <v>0</v>
      </c>
    </row>
    <row r="199" spans="1:10" x14ac:dyDescent="0.2">
      <c r="A199" s="27" t="s">
        <v>374</v>
      </c>
      <c r="B199" s="12" t="s">
        <v>375</v>
      </c>
      <c r="C199" s="13"/>
      <c r="D199" s="24">
        <v>587800.01</v>
      </c>
      <c r="E199" s="13"/>
      <c r="F199" s="13">
        <f t="shared" ref="F199:F207" si="98">SUM(C199:E199)</f>
        <v>587800.01</v>
      </c>
      <c r="G199" s="13"/>
      <c r="H199" s="13"/>
      <c r="I199" s="13">
        <f>SUM(G199:H199)</f>
        <v>0</v>
      </c>
      <c r="J199" s="14">
        <f t="shared" si="72"/>
        <v>0</v>
      </c>
    </row>
    <row r="200" spans="1:10" x14ac:dyDescent="0.2">
      <c r="A200" s="27" t="s">
        <v>376</v>
      </c>
      <c r="B200" s="12" t="s">
        <v>377</v>
      </c>
      <c r="C200" s="13"/>
      <c r="D200" s="13">
        <v>750</v>
      </c>
      <c r="E200" s="13"/>
      <c r="F200" s="13">
        <f t="shared" si="98"/>
        <v>750</v>
      </c>
      <c r="G200" s="19">
        <f>SUM(G202:G203)</f>
        <v>0</v>
      </c>
      <c r="H200" s="19">
        <f t="shared" ref="H200" si="99">SUM(H202:H203)</f>
        <v>0</v>
      </c>
      <c r="I200" s="19" t="e">
        <f>SUM(I201:I203)</f>
        <v>#REF!</v>
      </c>
      <c r="J200" s="14">
        <f t="shared" si="72"/>
        <v>0</v>
      </c>
    </row>
    <row r="201" spans="1:10" hidden="1" x14ac:dyDescent="0.2">
      <c r="A201" s="27" t="s">
        <v>378</v>
      </c>
      <c r="B201" s="12" t="s">
        <v>379</v>
      </c>
      <c r="C201" s="13">
        <v>0</v>
      </c>
      <c r="D201" s="13"/>
      <c r="E201" s="13"/>
      <c r="F201" s="13">
        <f t="shared" si="98"/>
        <v>0</v>
      </c>
      <c r="G201" s="46"/>
      <c r="H201" s="46"/>
      <c r="I201" s="46">
        <f>SUM(G201:H201)</f>
        <v>0</v>
      </c>
      <c r="J201" s="14">
        <f t="shared" ref="J201:J214" si="100">+C201+D201+E201-F201</f>
        <v>0</v>
      </c>
    </row>
    <row r="202" spans="1:10" hidden="1" x14ac:dyDescent="0.2">
      <c r="A202" s="27" t="s">
        <v>380</v>
      </c>
      <c r="B202" s="12" t="s">
        <v>381</v>
      </c>
      <c r="C202" s="13"/>
      <c r="D202" s="13">
        <v>0</v>
      </c>
      <c r="E202" s="13">
        <v>0</v>
      </c>
      <c r="F202" s="13">
        <f t="shared" si="98"/>
        <v>0</v>
      </c>
      <c r="G202" s="13"/>
      <c r="H202" s="13">
        <v>0</v>
      </c>
      <c r="I202" s="13" t="e">
        <f>+H202+#REF!+G202</f>
        <v>#REF!</v>
      </c>
      <c r="J202" s="14">
        <f t="shared" si="100"/>
        <v>0</v>
      </c>
    </row>
    <row r="203" spans="1:10" hidden="1" x14ac:dyDescent="0.2">
      <c r="A203" s="27" t="s">
        <v>382</v>
      </c>
      <c r="B203" s="12" t="s">
        <v>383</v>
      </c>
      <c r="C203" s="13"/>
      <c r="D203" s="13">
        <v>0</v>
      </c>
      <c r="E203" s="13"/>
      <c r="F203" s="13">
        <f t="shared" si="98"/>
        <v>0</v>
      </c>
      <c r="G203" s="13"/>
      <c r="H203" s="13"/>
      <c r="I203" s="13">
        <f>SUM(G203:H203)</f>
        <v>0</v>
      </c>
      <c r="J203" s="14">
        <f t="shared" si="100"/>
        <v>0</v>
      </c>
    </row>
    <row r="204" spans="1:10" ht="16.5" x14ac:dyDescent="0.3">
      <c r="A204" s="17" t="s">
        <v>384</v>
      </c>
      <c r="B204" s="18" t="s">
        <v>385</v>
      </c>
      <c r="C204" s="19">
        <f t="shared" ref="C204" si="101">SUM(C205:C207)</f>
        <v>0</v>
      </c>
      <c r="D204" s="19">
        <f>SUM(D205:D207)</f>
        <v>195000</v>
      </c>
      <c r="E204" s="19">
        <f t="shared" ref="E204" si="102">SUM(E205:E207)</f>
        <v>0</v>
      </c>
      <c r="F204" s="19">
        <f>+C204+D204+E204</f>
        <v>195000</v>
      </c>
      <c r="G204" s="19">
        <f>SUM(G205:G212)</f>
        <v>0</v>
      </c>
      <c r="H204" s="19">
        <f>SUM(H205:H212)</f>
        <v>53572</v>
      </c>
      <c r="I204" s="19">
        <f>SUM(I205:I212)</f>
        <v>53572</v>
      </c>
      <c r="J204" s="14">
        <f t="shared" si="100"/>
        <v>0</v>
      </c>
    </row>
    <row r="205" spans="1:10" x14ac:dyDescent="0.2">
      <c r="A205" s="27" t="s">
        <v>386</v>
      </c>
      <c r="B205" s="12" t="s">
        <v>387</v>
      </c>
      <c r="C205" s="13"/>
      <c r="D205" s="13">
        <v>195000</v>
      </c>
      <c r="E205" s="13"/>
      <c r="F205" s="13">
        <f t="shared" si="98"/>
        <v>195000</v>
      </c>
      <c r="G205" s="13"/>
      <c r="H205" s="13">
        <f>47790+5782</f>
        <v>53572</v>
      </c>
      <c r="I205" s="13">
        <f t="shared" ref="I205:I212" si="103">SUM(G205:H205)</f>
        <v>53572</v>
      </c>
      <c r="J205" s="14">
        <f t="shared" si="100"/>
        <v>0</v>
      </c>
    </row>
    <row r="206" spans="1:10" hidden="1" x14ac:dyDescent="0.2">
      <c r="A206" s="27" t="s">
        <v>388</v>
      </c>
      <c r="B206" s="12" t="s">
        <v>389</v>
      </c>
      <c r="C206" s="13"/>
      <c r="D206" s="13"/>
      <c r="E206" s="13">
        <v>0</v>
      </c>
      <c r="F206" s="13">
        <f t="shared" si="98"/>
        <v>0</v>
      </c>
      <c r="G206" s="13"/>
      <c r="H206" s="13"/>
      <c r="I206" s="13">
        <f t="shared" si="103"/>
        <v>0</v>
      </c>
      <c r="J206" s="14">
        <f t="shared" si="100"/>
        <v>0</v>
      </c>
    </row>
    <row r="207" spans="1:10" hidden="1" x14ac:dyDescent="0.2">
      <c r="A207" s="27" t="s">
        <v>390</v>
      </c>
      <c r="B207" s="12" t="s">
        <v>391</v>
      </c>
      <c r="C207" s="13"/>
      <c r="D207" s="13">
        <v>0</v>
      </c>
      <c r="E207" s="13"/>
      <c r="F207" s="13">
        <f t="shared" si="98"/>
        <v>0</v>
      </c>
      <c r="G207" s="13"/>
      <c r="H207" s="13"/>
      <c r="I207" s="13">
        <f t="shared" si="103"/>
        <v>0</v>
      </c>
      <c r="J207" s="14">
        <f t="shared" si="100"/>
        <v>0</v>
      </c>
    </row>
    <row r="208" spans="1:10" ht="16.5" x14ac:dyDescent="0.3">
      <c r="A208" s="17" t="s">
        <v>392</v>
      </c>
      <c r="B208" s="18" t="s">
        <v>393</v>
      </c>
      <c r="C208" s="19">
        <f>SUM(C209:C212)</f>
        <v>0</v>
      </c>
      <c r="D208" s="19">
        <f>SUM(D209:D212)</f>
        <v>716994.5</v>
      </c>
      <c r="E208" s="19">
        <f>SUM(E209:E212)</f>
        <v>5782</v>
      </c>
      <c r="F208" s="19">
        <f>SUM(F209:F212)</f>
        <v>722776.5</v>
      </c>
      <c r="G208" s="13"/>
      <c r="H208" s="13"/>
      <c r="I208" s="13">
        <f t="shared" si="103"/>
        <v>0</v>
      </c>
      <c r="J208" s="14">
        <f t="shared" si="100"/>
        <v>0</v>
      </c>
    </row>
    <row r="209" spans="1:10" ht="13.5" thickBot="1" x14ac:dyDescent="0.25">
      <c r="A209" s="27" t="s">
        <v>394</v>
      </c>
      <c r="B209" s="12" t="s">
        <v>395</v>
      </c>
      <c r="C209" s="13"/>
      <c r="D209" s="13">
        <v>716994.5</v>
      </c>
      <c r="E209" s="13">
        <v>5782</v>
      </c>
      <c r="F209" s="13">
        <f>SUM(C209:E209)</f>
        <v>722776.5</v>
      </c>
      <c r="G209" s="13"/>
      <c r="H209" s="13"/>
      <c r="I209" s="13">
        <f t="shared" si="103"/>
        <v>0</v>
      </c>
      <c r="J209" s="14">
        <f t="shared" si="100"/>
        <v>0</v>
      </c>
    </row>
    <row r="210" spans="1:10" hidden="1" x14ac:dyDescent="0.2">
      <c r="A210" s="27" t="s">
        <v>396</v>
      </c>
      <c r="B210" s="12" t="s">
        <v>397</v>
      </c>
      <c r="C210" s="13"/>
      <c r="D210" s="13"/>
      <c r="E210" s="13"/>
      <c r="F210" s="13">
        <f t="shared" ref="F210:F212" si="104">SUM(C210:E210)</f>
        <v>0</v>
      </c>
      <c r="G210" s="13"/>
      <c r="H210" s="13"/>
      <c r="I210" s="13">
        <f t="shared" si="103"/>
        <v>0</v>
      </c>
      <c r="J210" s="14">
        <f t="shared" si="100"/>
        <v>0</v>
      </c>
    </row>
    <row r="211" spans="1:10" hidden="1" x14ac:dyDescent="0.2">
      <c r="A211" s="49" t="s">
        <v>398</v>
      </c>
      <c r="B211" s="35" t="s">
        <v>399</v>
      </c>
      <c r="C211" s="13"/>
      <c r="D211" s="13"/>
      <c r="E211" s="13"/>
      <c r="F211" s="13">
        <f t="shared" si="104"/>
        <v>0</v>
      </c>
      <c r="G211" s="13"/>
      <c r="H211" s="13"/>
      <c r="I211" s="13">
        <f t="shared" si="103"/>
        <v>0</v>
      </c>
      <c r="J211" s="14">
        <f t="shared" si="100"/>
        <v>0</v>
      </c>
    </row>
    <row r="212" spans="1:10" ht="13.5" hidden="1" thickBot="1" x14ac:dyDescent="0.25">
      <c r="A212" s="27"/>
      <c r="B212" s="12"/>
      <c r="C212" s="13"/>
      <c r="D212" s="13"/>
      <c r="E212" s="13"/>
      <c r="F212" s="13">
        <f t="shared" si="104"/>
        <v>0</v>
      </c>
      <c r="G212" s="13"/>
      <c r="H212" s="13"/>
      <c r="I212" s="13">
        <f t="shared" si="103"/>
        <v>0</v>
      </c>
      <c r="J212" s="14">
        <f t="shared" si="100"/>
        <v>0</v>
      </c>
    </row>
    <row r="213" spans="1:10" ht="18" hidden="1" thickTop="1" thickBot="1" x14ac:dyDescent="0.35">
      <c r="A213" s="17" t="s">
        <v>400</v>
      </c>
      <c r="B213" s="18" t="s">
        <v>385</v>
      </c>
      <c r="C213" s="47">
        <f>SUM(C214:C215)</f>
        <v>0</v>
      </c>
      <c r="D213" s="47">
        <f t="shared" ref="D213:F213" si="105">SUM(D214:D215)</f>
        <v>0</v>
      </c>
      <c r="E213" s="47">
        <f t="shared" si="105"/>
        <v>0</v>
      </c>
      <c r="F213" s="47">
        <f t="shared" si="105"/>
        <v>0</v>
      </c>
      <c r="G213" s="51"/>
      <c r="H213" s="51"/>
      <c r="I213" s="52" t="e">
        <f>+#REF!+#REF!+#REF!</f>
        <v>#REF!</v>
      </c>
      <c r="J213" s="14">
        <f t="shared" si="100"/>
        <v>0</v>
      </c>
    </row>
    <row r="214" spans="1:10" hidden="1" x14ac:dyDescent="0.2">
      <c r="A214" s="49" t="s">
        <v>401</v>
      </c>
      <c r="B214" s="12" t="s">
        <v>402</v>
      </c>
      <c r="C214" s="33"/>
      <c r="D214" s="33">
        <v>0</v>
      </c>
      <c r="E214" s="33"/>
      <c r="F214" s="13">
        <f>SUM(C214:E214)</f>
        <v>0</v>
      </c>
      <c r="J214" s="14">
        <f t="shared" si="100"/>
        <v>0</v>
      </c>
    </row>
    <row r="215" spans="1:10" ht="13.5" hidden="1" thickBot="1" x14ac:dyDescent="0.25">
      <c r="A215" s="53"/>
      <c r="B215" s="54"/>
      <c r="C215" s="48"/>
      <c r="D215" s="48"/>
      <c r="E215" s="48"/>
      <c r="F215" s="48"/>
      <c r="J215" s="14"/>
    </row>
    <row r="216" spans="1:10" ht="18.75" thickBot="1" x14ac:dyDescent="0.3">
      <c r="A216" s="55"/>
      <c r="B216" s="56" t="s">
        <v>403</v>
      </c>
      <c r="C216" s="50">
        <f>C181+C168+C103+C34+C8</f>
        <v>37084951.629999995</v>
      </c>
      <c r="D216" s="50">
        <f>D181+D168+D103+D34+D8</f>
        <v>174565643.59000003</v>
      </c>
      <c r="E216" s="50">
        <f>E181+E168+E103+E34+E8</f>
        <v>23268522.030000001</v>
      </c>
      <c r="F216" s="50">
        <f>+F8+F34+F103+F168+F181</f>
        <v>234919117.24999997</v>
      </c>
      <c r="I216" s="14"/>
      <c r="J216" s="14"/>
    </row>
    <row r="217" spans="1:10" ht="13.5" thickTop="1" x14ac:dyDescent="0.2">
      <c r="A217" s="57"/>
      <c r="B217" s="58"/>
      <c r="C217" s="51"/>
      <c r="D217" s="51"/>
      <c r="E217" s="51"/>
      <c r="F217" s="52"/>
    </row>
    <row r="218" spans="1:10" hidden="1" x14ac:dyDescent="0.2"/>
    <row r="219" spans="1:10" hidden="1" x14ac:dyDescent="0.2"/>
    <row r="220" spans="1:10" hidden="1" x14ac:dyDescent="0.2">
      <c r="F220" s="14"/>
    </row>
    <row r="221" spans="1:10" hidden="1" x14ac:dyDescent="0.2">
      <c r="G221" s="59"/>
      <c r="H221" s="59"/>
      <c r="I221" s="59"/>
    </row>
    <row r="222" spans="1:10" hidden="1" x14ac:dyDescent="0.2"/>
    <row r="223" spans="1:10" hidden="1" x14ac:dyDescent="0.2">
      <c r="I223" s="14"/>
    </row>
    <row r="224" spans="1:10" hidden="1" x14ac:dyDescent="0.2"/>
    <row r="225" spans="1:9" hidden="1" x14ac:dyDescent="0.2">
      <c r="A225" s="1" t="s">
        <v>404</v>
      </c>
      <c r="C225" s="59"/>
      <c r="D225" s="59"/>
      <c r="E225" s="59"/>
      <c r="F225" s="59"/>
      <c r="G225" s="29"/>
      <c r="H225" s="29"/>
      <c r="I225" s="29"/>
    </row>
    <row r="226" spans="1:9" hidden="1" x14ac:dyDescent="0.2">
      <c r="G226" s="29"/>
      <c r="I226" s="29"/>
    </row>
    <row r="227" spans="1:9" hidden="1" x14ac:dyDescent="0.2">
      <c r="F227" s="14"/>
      <c r="G227" s="14"/>
    </row>
    <row r="228" spans="1:9" hidden="1" x14ac:dyDescent="0.2"/>
    <row r="229" spans="1:9" x14ac:dyDescent="0.2">
      <c r="A229" s="60"/>
      <c r="C229" s="29"/>
      <c r="D229" s="29"/>
      <c r="E229" s="29"/>
      <c r="F229" s="29"/>
    </row>
    <row r="230" spans="1:9" x14ac:dyDescent="0.2">
      <c r="C230" s="29"/>
      <c r="D230" s="14"/>
      <c r="F230" s="29"/>
    </row>
    <row r="231" spans="1:9" x14ac:dyDescent="0.2">
      <c r="C231" s="14"/>
    </row>
    <row r="232" spans="1:9" x14ac:dyDescent="0.2">
      <c r="D232" s="29"/>
    </row>
  </sheetData>
  <mergeCells count="7">
    <mergeCell ref="A6:A7"/>
    <mergeCell ref="B6:B7"/>
    <mergeCell ref="A1:F1"/>
    <mergeCell ref="A2:F2"/>
    <mergeCell ref="A3:F3"/>
    <mergeCell ref="A4:F4"/>
    <mergeCell ref="A5:F5"/>
  </mergeCells>
  <pageMargins left="0.70866141732283505" right="0.70866141732283505" top="0.74803149606299202" bottom="0.74803149606299202" header="0.31496062992126" footer="0.31496062992126"/>
  <pageSetup scale="6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marzo 2018 (2)</vt:lpstr>
      <vt:lpstr>'consolidado marzo 2018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cp:lastPrinted>2018-04-09T14:59:51Z</cp:lastPrinted>
  <dcterms:created xsi:type="dcterms:W3CDTF">2018-04-09T14:42:06Z</dcterms:created>
  <dcterms:modified xsi:type="dcterms:W3CDTF">2019-03-29T13:55:43Z</dcterms:modified>
</cp:coreProperties>
</file>