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5\JUNIO 2025\Transparencia\Archivo Exel\"/>
    </mc:Choice>
  </mc:AlternateContent>
  <bookViews>
    <workbookView xWindow="-120" yWindow="-120" windowWidth="29040" windowHeight="15720"/>
  </bookViews>
  <sheets>
    <sheet name="Estado de Situacion" sheetId="1" r:id="rId1"/>
    <sheet name="Estado de Resultado" sheetId="2" r:id="rId2"/>
    <sheet name="Estado Flujo de Efectivo" sheetId="4" r:id="rId3"/>
    <sheet name="Nota a los Estado " sheetId="3" r:id="rId4"/>
    <sheet name="Estado Cambio del Patrimonio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3" l="1"/>
  <c r="G255" i="3"/>
  <c r="G243" i="3"/>
  <c r="G242" i="3"/>
  <c r="G240" i="3"/>
  <c r="G237" i="3"/>
  <c r="G236" i="3"/>
  <c r="I260" i="3"/>
  <c r="I229" i="3"/>
  <c r="G225" i="3"/>
  <c r="G223" i="3"/>
  <c r="G222" i="3"/>
  <c r="G194" i="3"/>
  <c r="G209" i="3"/>
  <c r="G217" i="3"/>
  <c r="G216" i="3"/>
  <c r="G215" i="3"/>
  <c r="G214" i="3"/>
  <c r="G213" i="3"/>
  <c r="G212" i="3"/>
  <c r="G211" i="3"/>
  <c r="G208" i="3"/>
  <c r="G207" i="3"/>
  <c r="G206" i="3"/>
  <c r="G204" i="3"/>
  <c r="G202" i="3"/>
  <c r="G201" i="3"/>
  <c r="G197" i="3"/>
  <c r="G189" i="3"/>
  <c r="G186" i="3"/>
  <c r="G185" i="3"/>
  <c r="G183" i="3"/>
  <c r="G181" i="3" l="1"/>
  <c r="G179" i="3"/>
  <c r="G177" i="3"/>
  <c r="G176" i="3"/>
  <c r="G148" i="3"/>
  <c r="G162" i="3"/>
  <c r="G161" i="3"/>
  <c r="G159" i="3"/>
  <c r="G155" i="3"/>
  <c r="G153" i="3"/>
  <c r="G150" i="3"/>
  <c r="G147" i="3"/>
  <c r="G136" i="3"/>
  <c r="G128" i="3"/>
  <c r="G126" i="3"/>
  <c r="G123" i="3"/>
  <c r="G122" i="3"/>
  <c r="G120" i="3"/>
  <c r="G116" i="3"/>
  <c r="G115" i="3"/>
  <c r="G114" i="3"/>
  <c r="G101" i="3"/>
  <c r="G100" i="3"/>
  <c r="G99" i="3"/>
  <c r="G96" i="3"/>
  <c r="G94" i="3"/>
  <c r="G93" i="3"/>
  <c r="G92" i="3"/>
  <c r="G91" i="3"/>
  <c r="G90" i="3"/>
  <c r="G87" i="3"/>
  <c r="G86" i="3"/>
  <c r="G85" i="3"/>
  <c r="G77" i="3" l="1"/>
  <c r="G50" i="3" l="1"/>
  <c r="G28" i="3"/>
  <c r="G27" i="3"/>
  <c r="G19" i="3"/>
  <c r="F26" i="5" l="1"/>
  <c r="F25" i="5"/>
  <c r="F20" i="5"/>
  <c r="F23" i="5"/>
  <c r="H20" i="2" l="1"/>
  <c r="F21" i="4" s="1"/>
  <c r="H19" i="2"/>
  <c r="F19" i="4" s="1"/>
  <c r="F47" i="4"/>
  <c r="F39" i="4"/>
  <c r="F41" i="4" s="1"/>
  <c r="F38" i="4"/>
  <c r="F32" i="4"/>
  <c r="F31" i="4"/>
  <c r="H21" i="2" l="1"/>
  <c r="F34" i="4"/>
  <c r="G102" i="3" l="1"/>
  <c r="H24" i="2" s="1"/>
  <c r="F23" i="4" s="1"/>
  <c r="F27" i="5" l="1"/>
  <c r="G23" i="3" l="1"/>
  <c r="G260" i="3" l="1"/>
  <c r="H28" i="2" s="1"/>
  <c r="G229" i="3" l="1"/>
  <c r="J102" i="3"/>
  <c r="J260" i="3"/>
  <c r="J229" i="3" l="1"/>
  <c r="H27" i="2"/>
  <c r="G72" i="3"/>
  <c r="G79" i="3"/>
  <c r="F22" i="4" l="1"/>
  <c r="G164" i="3"/>
  <c r="J164" i="3" l="1"/>
  <c r="H25" i="2"/>
  <c r="G265" i="3"/>
  <c r="H29" i="2" s="1"/>
  <c r="J265" i="3" l="1"/>
  <c r="G30" i="3"/>
  <c r="G218" i="3" l="1"/>
  <c r="G29" i="3"/>
  <c r="G61" i="3"/>
  <c r="H33" i="1" s="1"/>
  <c r="G51" i="3"/>
  <c r="H32" i="1" s="1"/>
  <c r="G46" i="3"/>
  <c r="H25" i="1" s="1"/>
  <c r="G20" i="3"/>
  <c r="H19" i="1" s="1"/>
  <c r="G24" i="3"/>
  <c r="H20" i="1" s="1"/>
  <c r="J218" i="3" l="1"/>
  <c r="H26" i="2"/>
  <c r="G35" i="3"/>
  <c r="H24" i="1" s="1"/>
  <c r="F24" i="4" l="1"/>
  <c r="F27" i="4" s="1"/>
  <c r="F44" i="4" s="1"/>
  <c r="F50" i="4" s="1"/>
  <c r="H30" i="2"/>
  <c r="H32" i="2" s="1"/>
  <c r="H34" i="2" s="1"/>
  <c r="H34" i="1"/>
  <c r="H21" i="1" l="1"/>
  <c r="H26" i="1" l="1"/>
  <c r="H28" i="1" s="1"/>
  <c r="H41" i="1" l="1"/>
  <c r="H42" i="1" s="1"/>
  <c r="H44" i="1" s="1"/>
  <c r="J44" i="1" s="1"/>
  <c r="J34" i="2" l="1"/>
</calcChain>
</file>

<file path=xl/sharedStrings.xml><?xml version="1.0" encoding="utf-8"?>
<sst xmlns="http://schemas.openxmlformats.org/spreadsheetml/2006/main" count="337" uniqueCount="287">
  <si>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</si>
  <si>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</si>
  <si>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</si>
  <si>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</si>
  <si>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</si>
  <si>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</si>
  <si>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</si>
  <si>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</si>
  <si>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</si>
  <si>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</si>
  <si>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</si>
  <si>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</si>
  <si>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</si>
  <si>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</si>
  <si>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</si>
  <si>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</si>
  <si>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</si>
  <si>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</si>
  <si>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</si>
  <si>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</si>
  <si>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</si>
  <si>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</si>
  <si>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</si>
  <si>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</si>
  <si>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</si>
  <si>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</si>
  <si>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</si>
  <si>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</si>
  <si>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</si>
  <si>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</si>
  <si>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</si>
  <si>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</si>
  <si>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</si>
  <si>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</si>
  <si>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</si>
  <si>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</si>
  <si>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</si>
  <si>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</si>
  <si>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</si>
  <si>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</si>
  <si>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</si>
  <si>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</si>
  <si>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</si>
  <si>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</si>
  <si>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</si>
  <si>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</si>
  <si>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</si>
  <si>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</si>
  <si>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</si>
  <si>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</si>
  <si>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</si>
  <si>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</si>
  <si>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</si>
  <si>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</si>
  <si>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</si>
  <si>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</si>
  <si>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</si>
  <si>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</si>
  <si>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</si>
  <si>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</si>
  <si>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</si>
  <si>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</si>
  <si>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</si>
  <si>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</si>
  <si>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</si>
  <si>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</si>
  <si>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</si>
  <si>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</si>
  <si>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</si>
  <si>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</si>
  <si>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</si>
  <si>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</si>
  <si>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</si>
  <si>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</si>
  <si>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</si>
  <si>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</si>
  <si>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</si>
  <si>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</si>
  <si>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</si>
  <si>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</si>
  <si>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</si>
  <si>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</si>
  <si>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</si>
  <si>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</si>
  <si>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</si>
  <si>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</si>
  <si>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</si>
  <si>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</si>
  <si>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</si>
  <si>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</si>
  <si>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</si>
  <si>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</si>
  <si>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</si>
  <si>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</si>
  <si>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</si>
  <si>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</si>
  <si>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</si>
  <si>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</si>
  <si>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</si>
  <si>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</si>
  <si>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</si>
  <si>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</si>
  <si>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</si>
  <si>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</si>
  <si>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</si>
  <si>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</si>
  <si>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</si>
  <si>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</si>
  <si>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</si>
  <si>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</si>
  <si>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</si>
  <si>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</si>
  <si>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</si>
  <si>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</si>
  <si>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</si>
  <si>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</si>
  <si>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</si>
  <si>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</si>
  <si>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</si>
  <si>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</si>
  <si>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</si>
  <si>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</si>
  <si>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</si>
  <si>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</si>
  <si>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</si>
  <si>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</si>
  <si>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</si>
  <si>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</si>
  <si>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</si>
  <si>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</si>
  <si>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</si>
  <si>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</si>
  <si>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</si>
  <si>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</si>
  <si>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</si>
  <si>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</si>
  <si>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</si>
  <si>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</si>
  <si>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</si>
  <si>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</si>
  <si>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</si>
  <si>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</si>
  <si>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</si>
  <si>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</si>
  <si>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</si>
  <si>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</si>
  <si>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</si>
  <si>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</si>
  <si>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</si>
  <si>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</si>
  <si>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</si>
  <si>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</si>
  <si>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</si>
  <si>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</si>
  <si>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</si>
  <si>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</si>
  <si>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</si>
  <si>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LICENCIA INFORMATICAS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</si>
  <si>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</si>
  <si>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</si>
  <si>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</si>
  <si>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</si>
  <si>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</si>
  <si>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</si>
  <si>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</si>
  <si>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</si>
  <si>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</si>
  <si>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</si>
  <si>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</si>
  <si>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PRODUCTOR ELECTRICOS Y AFINES</t>
  </si>
  <si>
    <t>BENEFICIO, ACUERDO DE DESEMPEÑOS INSTITU</t>
  </si>
  <si>
    <t>INSTALACIONES ELÉCTRICAS</t>
  </si>
  <si>
    <t>SERVICIOS TELEFÓNICO DE LARGA DISTANCIA</t>
  </si>
  <si>
    <t>PRODUCTOS METÁLICOS Y SUS DERIVADOS</t>
  </si>
  <si>
    <t>MINERALES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</si>
  <si>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</si>
  <si>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</si>
  <si>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</si>
  <si>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</si>
  <si>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</si>
  <si>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</si>
  <si>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</si>
  <si>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</si>
  <si>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</si>
  <si>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</si>
  <si>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</si>
  <si>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</si>
  <si>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</si>
  <si>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</si>
  <si>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</si>
  <si>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</si>
  <si>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</si>
  <si>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</si>
  <si>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</si>
  <si>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</si>
  <si>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</si>
  <si>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</si>
  <si>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</si>
  <si>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</si>
  <si>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</si>
  <si>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PRENDAS DE VESTIR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</si>
  <si>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</si>
  <si>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</si>
  <si>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</si>
  <si>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</si>
  <si>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</si>
  <si>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</si>
  <si>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</si>
  <si>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</si>
  <si>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</si>
  <si>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</si>
  <si>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</si>
  <si>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</si>
  <si>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TRANSFERENCIAS CORRIENTES A ASOCIACIONES SIN FINES DE LUCRO</t>
  </si>
  <si>
    <t>EQUIPOS  RECREATIVOS</t>
  </si>
  <si>
    <t>OTROS EQUIPOS DE TRANSPORTE</t>
  </si>
  <si>
    <t>MAQUINARIA Y EQUIPO AGROPECUARIO</t>
  </si>
  <si>
    <t>EQUIPO DE COMUNICACIÓN, TELECOMUNICACION</t>
  </si>
  <si>
    <t>KEROSENO</t>
  </si>
  <si>
    <t>ESTADO DE FLUJOS DE EFECTIVO</t>
  </si>
  <si>
    <t>Flujos de efectivo de las actividades operativas:</t>
  </si>
  <si>
    <t>Flujo de efectivo neto usado en las actividades</t>
  </si>
  <si>
    <t xml:space="preserve">operativas </t>
  </si>
  <si>
    <t>Flujos de efectivo de las actividades de inversión:</t>
  </si>
  <si>
    <t>Flujo de efectivo neto provisto en las actividades</t>
  </si>
  <si>
    <t xml:space="preserve">de inversión </t>
  </si>
  <si>
    <t>Flujos de efectivo de las actividades de financiamiento:</t>
  </si>
  <si>
    <t>de financiamiento</t>
  </si>
  <si>
    <t>Aumento neto de efectivo y equivalentes de efectivo</t>
  </si>
  <si>
    <t>Efectivo y equivalentes de efectivo al inicio del año</t>
  </si>
  <si>
    <t>Efectivo y equivalentes de efectivo al final del año</t>
  </si>
  <si>
    <t>Transferencias del Gobierno Central</t>
  </si>
  <si>
    <t>Ingresos por donaciones</t>
  </si>
  <si>
    <t>Pago de asistencia social</t>
  </si>
  <si>
    <t>Pago de nómina</t>
  </si>
  <si>
    <t>Pago de bienes y servicios</t>
  </si>
  <si>
    <t>Otros pagos operativos</t>
  </si>
  <si>
    <t>Compra de activos fijos</t>
  </si>
  <si>
    <t>Préstamos o recursos extraordinarios</t>
  </si>
  <si>
    <t>Devoluciones de fondos</t>
  </si>
  <si>
    <t>Conciliacion de Efectivo</t>
  </si>
  <si>
    <t xml:space="preserve">Ana Gisell Almonte Valdez </t>
  </si>
  <si>
    <t>Otros Ingresos</t>
  </si>
  <si>
    <t>ESTADO DE CAMBIO EN EL PATRIMONIO</t>
  </si>
  <si>
    <t>Patrimonio Inicial</t>
  </si>
  <si>
    <t>Aportes del Estado</t>
  </si>
  <si>
    <t>Donaciones recibidas</t>
  </si>
  <si>
    <t>Resultado del Ejercicio (Superavit/Deficit)</t>
  </si>
  <si>
    <t>Reservas o Fondos Asignados</t>
  </si>
  <si>
    <t xml:space="preserve">Ajustes por revaluacion </t>
  </si>
  <si>
    <t>Otros Variaciones en el Patrimonio</t>
  </si>
  <si>
    <t>Patrimonio Final</t>
  </si>
  <si>
    <t>JORNALEROS</t>
  </si>
  <si>
    <t xml:space="preserve">PRESTACION LABORAL POR DESVINCULACION </t>
  </si>
  <si>
    <t>PROPORCION DE VACACIONES NO DISFRUTADAS</t>
  </si>
  <si>
    <t>PUBLICACIONES DE AVISOS OFICIALES</t>
  </si>
  <si>
    <t>OTROS ALQUILERES Y ARRENDAMIENTOS POR DERECHOS DE USOS</t>
  </si>
  <si>
    <t>SERVICIOS DE CATERING</t>
  </si>
  <si>
    <t>PRODUCTOS DE ARCILLA Y DERIVASOS</t>
  </si>
  <si>
    <t>REPUESTOS</t>
  </si>
  <si>
    <t>ÚTILES Y MATERIALES Y DE ENSEÑANZAS</t>
  </si>
  <si>
    <t>BECAS NACIONALES</t>
  </si>
  <si>
    <t>Obras en edificaciones</t>
  </si>
  <si>
    <t>DEVENGADO APROBADO</t>
  </si>
  <si>
    <t>INCENTIVO POR RENDIMIENTO INDIVIDUAL</t>
  </si>
  <si>
    <t>FUMIGACION</t>
  </si>
  <si>
    <t>LIMPIEZA E HIGIENE</t>
  </si>
  <si>
    <t>EVENTOS GENERALES</t>
  </si>
  <si>
    <t>SERVICIOS TECNICOS Y PROFESIONALES</t>
  </si>
  <si>
    <t xml:space="preserve">SERVICIOS DE ALIMENTACION </t>
  </si>
  <si>
    <t>PRODUCTOS Y UTILES DE DEFENZA Y SEGURIDAD</t>
  </si>
  <si>
    <t>PRODUCTOS Y ÚTILES VARIOS</t>
  </si>
  <si>
    <t xml:space="preserve">EQUIPO DE TRACCION </t>
  </si>
  <si>
    <t>AL 30 DE JUNIO DEL 2025</t>
  </si>
  <si>
    <t>COMPENSACION POR CUMPLIMIENTO DE INDICADORES DEL MAP</t>
  </si>
  <si>
    <t>TEXTOS DE ENSEÑANZA</t>
  </si>
  <si>
    <t>PRODUCTOS DE LOZA</t>
  </si>
  <si>
    <t>HERRAMIENTAS MENORES</t>
  </si>
  <si>
    <t>PINTURA, LACAS, BARNICES, DILUYENTES Y ABSORBENTES PARA PINTURAS</t>
  </si>
  <si>
    <t>OTROS PRODUCTOS QUÍMICOS Y CONEXOS</t>
  </si>
  <si>
    <t>MATERIAL PARA LIMPIEZA E HIGIENE PERSONAL</t>
  </si>
  <si>
    <t>BONOS PARA UTILES DIVERSOS</t>
  </si>
  <si>
    <t>CAMARAS FOTOGRAFICAS Y DE VIDEO</t>
  </si>
  <si>
    <t>EQUIPO E INSTRUMENTOS DE MEDICION CIENTIFICA</t>
  </si>
  <si>
    <t>EQUIPOS DE CLIMATIZACION</t>
  </si>
  <si>
    <t xml:space="preserve">Ramon Elpidio Rodriguez Duran 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</si>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</sst>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.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/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4" fontId="1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indent="2"/>
    </xf>
    <xf numFmtId="4" fontId="7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indent="1"/>
    </xf>
    <xf numFmtId="0" fontId="13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43" fontId="8" fillId="2" borderId="2" xfId="1" applyFont="1" applyFill="1" applyBorder="1" applyAlignment="1">
      <alignment vertical="center"/>
    </xf>
    <xf numFmtId="4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/>
    <xf numFmtId="49" fontId="0" fillId="2" borderId="0" xfId="0" applyNumberFormat="1" applyFill="1"/>
    <xf numFmtId="0" fontId="4" fillId="2" borderId="0" xfId="0" applyFont="1" applyFill="1"/>
    <xf numFmtId="43" fontId="1" fillId="2" borderId="0" xfId="1" applyFont="1" applyFill="1"/>
    <xf numFmtId="43" fontId="1" fillId="2" borderId="1" xfId="1" applyFont="1" applyFill="1" applyBorder="1"/>
    <xf numFmtId="43" fontId="13" fillId="2" borderId="0" xfId="1" applyFont="1" applyFill="1"/>
    <xf numFmtId="43" fontId="13" fillId="2" borderId="4" xfId="1" applyFont="1" applyFill="1" applyBorder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indent="3"/>
    </xf>
    <xf numFmtId="0" fontId="13" fillId="2" borderId="0" xfId="0" applyFont="1" applyFill="1" applyAlignment="1"/>
    <xf numFmtId="0" fontId="1" fillId="2" borderId="0" xfId="0" applyFont="1" applyFill="1" applyAlignment="1"/>
    <xf numFmtId="43" fontId="27" fillId="2" borderId="0" xfId="1" applyFont="1" applyFill="1" applyAlignment="1">
      <alignment horizontal="center" vertical="center"/>
    </xf>
    <xf numFmtId="43" fontId="0" fillId="2" borderId="0" xfId="1" applyFont="1" applyFill="1"/>
    <xf numFmtId="0" fontId="0" fillId="2" borderId="0" xfId="0" applyFill="1" applyAlignment="1">
      <alignment horizontal="center"/>
    </xf>
    <xf numFmtId="0" fontId="1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/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6</xdr:col>
      <xdr:colOff>333375</xdr:colOff>
      <xdr:row>9</xdr:row>
      <xdr:rowOff>123825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905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2609850</xdr:colOff>
      <xdr:row>1</xdr:row>
      <xdr:rowOff>161925</xdr:rowOff>
    </xdr:from>
    <xdr:to>
      <xdr:col>3</xdr:col>
      <xdr:colOff>933450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A7069A9A-7A91-41EB-AE9C-7B945A39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2314575</xdr:colOff>
      <xdr:row>0</xdr:row>
      <xdr:rowOff>180975</xdr:rowOff>
    </xdr:from>
    <xdr:to>
      <xdr:col>3</xdr:col>
      <xdr:colOff>1304925</xdr:colOff>
      <xdr:row>8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4876791-49D9-4ABC-8DA6-5F358B0E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9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.rodriguez/Desktop/RAMON%20RODRIGUEZ/Backup%20Ramon%20Rodriguez/ESTADO%20FINANCIERO%202025/ABRIL%202025/Transparencia/Archivo%20Exel/Estado%20Financiero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on"/>
      <sheetName val="Estado de Resultado"/>
      <sheetName val="Estado Flujo de Efectivo"/>
      <sheetName val="Nota a los Estado "/>
      <sheetName val="Estado Cambio del Patrimonio"/>
    </sheetNames>
    <sheetDataSet>
      <sheetData sheetId="0"/>
      <sheetData sheetId="1">
        <row r="29">
          <cell r="H2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129"/>
  <sheetViews>
    <sheetView tabSelected="1" workbookViewId="0">
      <selection activeCell="B14" sqref="B1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84" t="s">
        <v>0</v>
      </c>
      <c r="B11" s="84"/>
      <c r="C11" s="84"/>
      <c r="D11" s="84"/>
      <c r="E11" s="84"/>
      <c r="F11" s="84"/>
      <c r="G11" s="84"/>
      <c r="H11" s="84"/>
      <c r="I11" s="84"/>
    </row>
    <row r="12" spans="1:9" x14ac:dyDescent="0.25">
      <c r="A12" s="85" t="s">
        <v>273</v>
      </c>
      <c r="B12" s="85"/>
      <c r="C12" s="85"/>
      <c r="D12" s="85"/>
      <c r="E12" s="85"/>
      <c r="F12" s="85"/>
      <c r="G12" s="85"/>
      <c r="H12" s="85"/>
      <c r="I12" s="85"/>
    </row>
    <row r="13" spans="1:9" x14ac:dyDescent="0.25">
      <c r="A13" s="85" t="s">
        <v>1</v>
      </c>
      <c r="B13" s="85"/>
      <c r="C13" s="85"/>
      <c r="D13" s="85"/>
      <c r="E13" s="85"/>
      <c r="F13" s="85"/>
      <c r="G13" s="85"/>
      <c r="H13" s="85"/>
      <c r="I13" s="85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4" t="s">
        <v>2</v>
      </c>
      <c r="D17" s="2"/>
      <c r="E17" s="2"/>
      <c r="F17" s="2"/>
      <c r="G17" s="2"/>
      <c r="H17" s="5" t="s">
        <v>3</v>
      </c>
    </row>
    <row r="18" spans="2:8" x14ac:dyDescent="0.25">
      <c r="B18" s="2"/>
      <c r="C18" s="6" t="s">
        <v>4</v>
      </c>
      <c r="D18" s="2"/>
      <c r="E18" s="2"/>
      <c r="F18" s="2"/>
      <c r="G18" s="2"/>
      <c r="H18" s="2"/>
    </row>
    <row r="19" spans="2:8" x14ac:dyDescent="0.25">
      <c r="B19" s="2"/>
      <c r="C19" s="7" t="s">
        <v>5</v>
      </c>
      <c r="D19" s="2"/>
      <c r="E19" s="21" t="s">
        <v>26</v>
      </c>
      <c r="F19" s="2"/>
      <c r="G19" s="2"/>
      <c r="H19" s="31">
        <f>'Nota a los Estado '!G20</f>
        <v>10098.07</v>
      </c>
    </row>
    <row r="20" spans="2:8" x14ac:dyDescent="0.25">
      <c r="B20" s="2"/>
      <c r="C20" s="7" t="s">
        <v>6</v>
      </c>
      <c r="D20" s="2"/>
      <c r="E20" s="21" t="s">
        <v>27</v>
      </c>
      <c r="F20" s="2"/>
      <c r="G20" s="2"/>
      <c r="H20" s="12">
        <f>'Nota a los Estado '!G24</f>
        <v>213743.78</v>
      </c>
    </row>
    <row r="21" spans="2:8" x14ac:dyDescent="0.25">
      <c r="B21" s="2"/>
      <c r="C21" s="8" t="s">
        <v>7</v>
      </c>
      <c r="D21" s="2"/>
      <c r="E21" s="2"/>
      <c r="F21" s="2"/>
      <c r="G21" s="2"/>
      <c r="H21" s="9">
        <f>+H19+H20</f>
        <v>223841.85</v>
      </c>
    </row>
    <row r="22" spans="2:8" x14ac:dyDescent="0.25">
      <c r="B22" s="2"/>
      <c r="C22" s="8"/>
      <c r="D22" s="2"/>
      <c r="E22" s="2"/>
      <c r="F22" s="2"/>
      <c r="G22" s="2"/>
      <c r="H22" s="9"/>
    </row>
    <row r="23" spans="2:8" x14ac:dyDescent="0.25">
      <c r="B23" s="2"/>
      <c r="C23" s="6" t="s">
        <v>8</v>
      </c>
      <c r="D23" s="2"/>
      <c r="E23" s="2"/>
      <c r="F23" s="2"/>
      <c r="G23" s="2"/>
      <c r="H23" s="2"/>
    </row>
    <row r="24" spans="2:8" x14ac:dyDescent="0.25">
      <c r="B24" s="2"/>
      <c r="C24" s="7" t="s">
        <v>9</v>
      </c>
      <c r="D24" s="2"/>
      <c r="E24" s="21" t="s">
        <v>28</v>
      </c>
      <c r="F24" s="2"/>
      <c r="G24" s="2"/>
      <c r="H24" s="10">
        <f>'Nota a los Estado '!G35</f>
        <v>1873073402.21</v>
      </c>
    </row>
    <row r="25" spans="2:8" x14ac:dyDescent="0.25">
      <c r="B25" s="2"/>
      <c r="C25" s="7" t="s">
        <v>10</v>
      </c>
      <c r="D25" s="2"/>
      <c r="E25" s="21" t="s">
        <v>29</v>
      </c>
      <c r="F25" s="2"/>
      <c r="G25" s="2"/>
      <c r="H25" s="43">
        <f>'Nota a los Estado '!G46</f>
        <v>-683082803.59000003</v>
      </c>
    </row>
    <row r="26" spans="2:8" x14ac:dyDescent="0.25">
      <c r="B26" s="2"/>
      <c r="C26" s="8" t="s">
        <v>11</v>
      </c>
      <c r="D26" s="2"/>
      <c r="E26" s="2"/>
      <c r="F26" s="2"/>
      <c r="G26" s="2"/>
      <c r="H26" s="9">
        <f>+H24+H25</f>
        <v>1189990598.6199999</v>
      </c>
    </row>
    <row r="27" spans="2:8" x14ac:dyDescent="0.25">
      <c r="B27" s="2"/>
      <c r="C27" s="8"/>
      <c r="D27" s="2"/>
      <c r="E27" s="2"/>
      <c r="F27" s="2"/>
      <c r="G27" s="2"/>
      <c r="H27" s="11"/>
    </row>
    <row r="28" spans="2:8" ht="16.5" thickBot="1" x14ac:dyDescent="0.3">
      <c r="B28" s="2"/>
      <c r="C28" s="13" t="s">
        <v>12</v>
      </c>
      <c r="D28" s="2"/>
      <c r="E28" s="2"/>
      <c r="F28" s="2"/>
      <c r="G28" s="2"/>
      <c r="H28" s="47">
        <f>+H21+H26</f>
        <v>1190214440.4699998</v>
      </c>
    </row>
    <row r="29" spans="2:8" ht="15.75" thickTop="1" x14ac:dyDescent="0.25">
      <c r="B29" s="2"/>
      <c r="C29" s="2"/>
      <c r="D29" s="2"/>
      <c r="E29" s="2"/>
      <c r="F29" s="2"/>
      <c r="G29" s="2"/>
      <c r="H29" s="9"/>
    </row>
    <row r="30" spans="2:8" x14ac:dyDescent="0.25">
      <c r="B30" s="2"/>
      <c r="C30" s="4" t="s">
        <v>13</v>
      </c>
      <c r="D30" s="2"/>
      <c r="E30" s="2"/>
      <c r="F30" s="2"/>
      <c r="G30" s="2"/>
      <c r="H30" s="2"/>
    </row>
    <row r="31" spans="2:8" x14ac:dyDescent="0.25">
      <c r="B31" s="2"/>
      <c r="C31" s="6" t="s">
        <v>14</v>
      </c>
      <c r="D31" s="2"/>
      <c r="E31" s="2"/>
      <c r="F31" s="2"/>
      <c r="G31" s="2"/>
      <c r="H31" s="2"/>
    </row>
    <row r="32" spans="2:8" x14ac:dyDescent="0.25">
      <c r="B32" s="2"/>
      <c r="C32" s="7" t="s">
        <v>15</v>
      </c>
      <c r="D32" s="2"/>
      <c r="E32" s="21" t="s">
        <v>30</v>
      </c>
      <c r="F32" s="2"/>
      <c r="G32" s="2"/>
      <c r="H32" s="15">
        <f>'Nota a los Estado '!G51</f>
        <v>127806751.60999998</v>
      </c>
    </row>
    <row r="33" spans="2:11" x14ac:dyDescent="0.25">
      <c r="B33" s="2"/>
      <c r="C33" s="7" t="s">
        <v>16</v>
      </c>
      <c r="D33" s="2"/>
      <c r="E33" s="21" t="s">
        <v>31</v>
      </c>
      <c r="F33" s="2"/>
      <c r="G33" s="2"/>
      <c r="H33" s="12">
        <f>'Nota a los Estado '!G61</f>
        <v>0</v>
      </c>
    </row>
    <row r="34" spans="2:11" x14ac:dyDescent="0.25">
      <c r="B34" s="2"/>
      <c r="C34" s="8" t="s">
        <v>17</v>
      </c>
      <c r="D34" s="2"/>
      <c r="E34" s="2"/>
      <c r="F34" s="2"/>
      <c r="G34" s="2"/>
      <c r="H34" s="9">
        <f>+H32+H33</f>
        <v>127806751.60999998</v>
      </c>
      <c r="K34" s="16"/>
    </row>
    <row r="35" spans="2:11" x14ac:dyDescent="0.25">
      <c r="B35" s="2"/>
      <c r="C35" s="8"/>
      <c r="D35" s="2"/>
      <c r="E35" s="2"/>
      <c r="F35" s="2"/>
      <c r="G35" s="2"/>
      <c r="H35" s="2"/>
    </row>
    <row r="36" spans="2:11" x14ac:dyDescent="0.25">
      <c r="B36" s="2"/>
      <c r="C36" s="8" t="s">
        <v>18</v>
      </c>
      <c r="D36" s="2"/>
      <c r="E36" s="2"/>
      <c r="F36" s="2"/>
      <c r="G36" s="2"/>
      <c r="H36" s="10"/>
    </row>
    <row r="37" spans="2:11" x14ac:dyDescent="0.25">
      <c r="B37" s="2"/>
      <c r="C37" s="8" t="s">
        <v>19</v>
      </c>
      <c r="D37" s="2"/>
      <c r="E37" s="21" t="s">
        <v>32</v>
      </c>
      <c r="F37" s="2"/>
      <c r="G37" s="2"/>
      <c r="H37" s="12">
        <v>0</v>
      </c>
    </row>
    <row r="38" spans="2:11" x14ac:dyDescent="0.25">
      <c r="B38" s="2"/>
      <c r="C38" s="8" t="s">
        <v>20</v>
      </c>
      <c r="D38" s="2"/>
      <c r="E38" s="2"/>
      <c r="F38" s="2"/>
      <c r="G38" s="2"/>
      <c r="H38" s="9">
        <v>0</v>
      </c>
    </row>
    <row r="39" spans="2:11" x14ac:dyDescent="0.25">
      <c r="B39" s="2"/>
      <c r="C39" s="8"/>
      <c r="D39" s="2"/>
      <c r="E39" s="2"/>
      <c r="F39" s="2"/>
      <c r="G39" s="2"/>
      <c r="H39" s="9"/>
    </row>
    <row r="40" spans="2:11" x14ac:dyDescent="0.25">
      <c r="B40" s="2"/>
      <c r="C40" s="17" t="s">
        <v>21</v>
      </c>
      <c r="D40" s="2"/>
      <c r="E40" s="2"/>
      <c r="F40" s="2"/>
      <c r="G40" s="2"/>
      <c r="H40" s="2"/>
    </row>
    <row r="41" spans="2:11" x14ac:dyDescent="0.25">
      <c r="B41" s="2"/>
      <c r="C41" s="7" t="s">
        <v>22</v>
      </c>
      <c r="D41" s="2"/>
      <c r="E41" s="21" t="s">
        <v>35</v>
      </c>
      <c r="F41" s="2"/>
      <c r="G41" s="2"/>
      <c r="H41" s="12">
        <f>'Nota a los Estado '!G72</f>
        <v>1062407688.8599999</v>
      </c>
      <c r="I41" s="10"/>
    </row>
    <row r="42" spans="2:11" x14ac:dyDescent="0.25">
      <c r="B42" s="2"/>
      <c r="C42" s="8" t="s">
        <v>23</v>
      </c>
      <c r="D42" s="2"/>
      <c r="E42" s="2"/>
      <c r="F42" s="2"/>
      <c r="G42" s="2"/>
      <c r="H42" s="9">
        <f>+H41</f>
        <v>1062407688.8599999</v>
      </c>
    </row>
    <row r="43" spans="2:11" x14ac:dyDescent="0.25">
      <c r="B43" s="18"/>
      <c r="C43" s="2"/>
      <c r="D43" s="2"/>
      <c r="E43" s="2"/>
      <c r="F43" s="2"/>
      <c r="G43" s="18"/>
      <c r="H43" s="2"/>
      <c r="J43" s="16"/>
      <c r="K43" s="16"/>
    </row>
    <row r="44" spans="2:11" ht="15.75" thickBot="1" x14ac:dyDescent="0.3">
      <c r="B44" s="2"/>
      <c r="C44" s="19" t="s">
        <v>24</v>
      </c>
      <c r="D44" s="2"/>
      <c r="E44" s="2"/>
      <c r="F44" s="2"/>
      <c r="G44" s="2"/>
      <c r="H44" s="47">
        <f>+H42+H34</f>
        <v>1190214440.4699998</v>
      </c>
      <c r="J44" s="16">
        <f>H28-H44</f>
        <v>0</v>
      </c>
    </row>
    <row r="45" spans="2:11" ht="15.75" thickTop="1" x14ac:dyDescent="0.25">
      <c r="B45" s="2"/>
      <c r="C45" s="19"/>
      <c r="D45" s="2"/>
      <c r="E45" s="2"/>
      <c r="F45" s="2"/>
      <c r="G45" s="2"/>
      <c r="H45" s="14"/>
    </row>
    <row r="46" spans="2:1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1:9" x14ac:dyDescent="0.25">
      <c r="A49" s="33" t="s">
        <v>285</v>
      </c>
      <c r="B49" s="33"/>
      <c r="F49" s="2"/>
      <c r="G49" s="2"/>
      <c r="H49" s="33" t="s">
        <v>241</v>
      </c>
      <c r="I49" s="23"/>
    </row>
    <row r="50" spans="1:9" x14ac:dyDescent="0.25">
      <c r="A50" s="30" t="s">
        <v>286</v>
      </c>
      <c r="B50" s="30"/>
      <c r="G50" s="61"/>
      <c r="H50" s="30" t="s">
        <v>25</v>
      </c>
      <c r="I50" s="23"/>
    </row>
    <row r="51" spans="1:9" x14ac:dyDescent="0.25">
      <c r="E51" s="32"/>
      <c r="F51" s="23"/>
    </row>
    <row r="52" spans="1:9" x14ac:dyDescent="0.25">
      <c r="D52" s="20"/>
      <c r="F52" s="18"/>
      <c r="I52" s="2"/>
    </row>
    <row r="53" spans="1:9" x14ac:dyDescent="0.25">
      <c r="B53" s="21"/>
      <c r="C53" s="21"/>
      <c r="D53" s="20"/>
      <c r="F53" s="23"/>
      <c r="H53" s="2"/>
      <c r="I53" s="2"/>
    </row>
    <row r="54" spans="1:9" x14ac:dyDescent="0.25">
      <c r="A54" s="83" t="s">
        <v>164</v>
      </c>
      <c r="B54" s="83"/>
      <c r="C54" s="83"/>
      <c r="D54" s="83"/>
      <c r="E54" s="83"/>
      <c r="F54" s="83"/>
      <c r="G54" s="83"/>
      <c r="H54" s="83"/>
      <c r="I54" s="83"/>
    </row>
    <row r="55" spans="1:9" x14ac:dyDescent="0.25">
      <c r="A55" s="82" t="s">
        <v>194</v>
      </c>
      <c r="B55" s="82"/>
      <c r="C55" s="82"/>
      <c r="D55" s="82"/>
      <c r="E55" s="82"/>
      <c r="F55" s="82"/>
      <c r="G55" s="82"/>
      <c r="H55" s="82"/>
      <c r="I55" s="82"/>
    </row>
    <row r="58" spans="1:9" x14ac:dyDescent="0.25">
      <c r="A58" s="27"/>
      <c r="B58" s="27"/>
    </row>
    <row r="59" spans="1:9" x14ac:dyDescent="0.25">
      <c r="H59" s="16"/>
      <c r="I59" s="26"/>
    </row>
    <row r="60" spans="1:9" x14ac:dyDescent="0.25">
      <c r="B60" s="73"/>
      <c r="C60" s="73"/>
      <c r="D60" s="73"/>
      <c r="I60" s="28"/>
    </row>
    <row r="61" spans="1:9" x14ac:dyDescent="0.25">
      <c r="B61" s="74"/>
      <c r="C61" s="74"/>
      <c r="D61" s="74"/>
      <c r="I61" s="24"/>
    </row>
    <row r="62" spans="1:9" x14ac:dyDescent="0.25">
      <c r="I62" s="26"/>
    </row>
    <row r="63" spans="1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5">
    <mergeCell ref="A55:I55"/>
    <mergeCell ref="A54:I54"/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M117"/>
  <sheetViews>
    <sheetView workbookViewId="0">
      <selection activeCell="C16" sqref="C16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9" ht="15.75" x14ac:dyDescent="0.25">
      <c r="A11" s="84" t="s">
        <v>33</v>
      </c>
      <c r="B11" s="84"/>
      <c r="C11" s="84"/>
      <c r="D11" s="84"/>
      <c r="E11" s="84"/>
      <c r="F11" s="84"/>
      <c r="G11" s="84"/>
      <c r="H11" s="84"/>
      <c r="I11" s="84"/>
    </row>
    <row r="12" spans="1:9" x14ac:dyDescent="0.25">
      <c r="A12" s="85" t="s">
        <v>273</v>
      </c>
      <c r="B12" s="85"/>
      <c r="C12" s="85"/>
      <c r="D12" s="85"/>
      <c r="E12" s="85"/>
      <c r="F12" s="85"/>
      <c r="G12" s="85"/>
      <c r="H12" s="85"/>
      <c r="I12" s="85"/>
    </row>
    <row r="13" spans="1:9" x14ac:dyDescent="0.25">
      <c r="A13" s="85" t="s">
        <v>1</v>
      </c>
      <c r="B13" s="85"/>
      <c r="C13" s="85"/>
      <c r="D13" s="85"/>
      <c r="E13" s="85"/>
      <c r="F13" s="85"/>
      <c r="G13" s="85"/>
      <c r="H13" s="85"/>
      <c r="I13" s="85"/>
    </row>
    <row r="14" spans="1:9" x14ac:dyDescent="0.25">
      <c r="B14" s="81"/>
      <c r="C14" s="81"/>
      <c r="D14" s="81"/>
      <c r="E14" s="81"/>
      <c r="F14" s="81"/>
      <c r="G14" s="81"/>
      <c r="H14" s="81"/>
    </row>
    <row r="15" spans="1:9" x14ac:dyDescent="0.25">
      <c r="A15" s="86" t="s">
        <v>263</v>
      </c>
      <c r="B15" s="86"/>
      <c r="C15" s="86"/>
      <c r="D15" s="86"/>
      <c r="E15" s="86"/>
      <c r="F15" s="86"/>
      <c r="G15" s="86"/>
      <c r="H15" s="86"/>
      <c r="I15" s="86"/>
    </row>
    <row r="16" spans="1:9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B19" s="78"/>
      <c r="C19" s="49" t="s">
        <v>91</v>
      </c>
      <c r="D19" s="2"/>
      <c r="F19" s="21" t="s">
        <v>36</v>
      </c>
      <c r="G19" s="2"/>
      <c r="H19" s="31">
        <f>'Nota a los Estado '!G77</f>
        <v>3819095169.6500001</v>
      </c>
    </row>
    <row r="20" spans="1:13" x14ac:dyDescent="0.25">
      <c r="A20" s="21"/>
      <c r="B20" s="78"/>
      <c r="C20" s="7" t="s">
        <v>34</v>
      </c>
      <c r="D20" s="2"/>
      <c r="F20" s="2"/>
      <c r="G20" s="2"/>
      <c r="H20" s="12">
        <f>'Nota a los Estado '!G78</f>
        <v>0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f>+H19+H20</f>
        <v>3819095169.6500001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B24" s="78"/>
      <c r="C24" s="51" t="s">
        <v>86</v>
      </c>
      <c r="D24" s="2"/>
      <c r="F24" s="21" t="s">
        <v>39</v>
      </c>
      <c r="G24" s="2"/>
      <c r="H24" s="50">
        <f>'Nota a los Estado '!G102</f>
        <v>207964633.04999998</v>
      </c>
    </row>
    <row r="25" spans="1:13" x14ac:dyDescent="0.25">
      <c r="A25" s="21"/>
      <c r="B25" s="78"/>
      <c r="C25" s="7" t="s">
        <v>87</v>
      </c>
      <c r="D25" s="2"/>
      <c r="F25" s="21" t="s">
        <v>40</v>
      </c>
      <c r="G25" s="2"/>
      <c r="H25" s="50">
        <f>'Nota a los Estado '!G164</f>
        <v>59373944.75</v>
      </c>
    </row>
    <row r="26" spans="1:13" x14ac:dyDescent="0.25">
      <c r="A26" s="21"/>
      <c r="B26" s="78"/>
      <c r="C26" s="7" t="s">
        <v>88</v>
      </c>
      <c r="D26" s="2"/>
      <c r="F26" s="21" t="s">
        <v>41</v>
      </c>
      <c r="G26" s="2"/>
      <c r="H26" s="50">
        <f>'Nota a los Estado '!G218</f>
        <v>43612125.499999993</v>
      </c>
    </row>
    <row r="27" spans="1:13" x14ac:dyDescent="0.25">
      <c r="A27" s="21"/>
      <c r="B27" s="78"/>
      <c r="C27" s="7" t="s">
        <v>89</v>
      </c>
      <c r="D27" s="2"/>
      <c r="F27" s="21" t="s">
        <v>42</v>
      </c>
      <c r="G27" s="2"/>
      <c r="H27" s="10">
        <f>'Nota a los Estado '!G229</f>
        <v>3506082000.9700003</v>
      </c>
    </row>
    <row r="28" spans="1:13" x14ac:dyDescent="0.25">
      <c r="A28" s="21"/>
      <c r="B28" s="78"/>
      <c r="C28" s="7" t="s">
        <v>147</v>
      </c>
      <c r="D28" s="2"/>
      <c r="F28" s="21" t="s">
        <v>148</v>
      </c>
      <c r="G28" s="2"/>
      <c r="H28" s="10">
        <f>'Nota a los Estado '!G260</f>
        <v>2062465.38</v>
      </c>
    </row>
    <row r="29" spans="1:13" x14ac:dyDescent="0.25">
      <c r="A29" s="21"/>
      <c r="B29" s="78"/>
      <c r="C29" s="7" t="s">
        <v>149</v>
      </c>
      <c r="D29" s="2"/>
      <c r="F29" s="21" t="s">
        <v>150</v>
      </c>
      <c r="G29" s="2"/>
      <c r="H29" s="12">
        <f>'Nota a los Estado '!G265</f>
        <v>0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f>SUM(H24:H29)</f>
        <v>3819095169.6500006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f>H21-H30</f>
        <v>0</v>
      </c>
    </row>
    <row r="33" spans="1:10" x14ac:dyDescent="0.25">
      <c r="B33" s="2"/>
      <c r="C33" s="2"/>
      <c r="D33" s="2"/>
      <c r="E33" s="2"/>
      <c r="F33" s="2"/>
      <c r="G33" s="2"/>
      <c r="H33" s="9"/>
    </row>
    <row r="34" spans="1:10" ht="15.75" thickBot="1" x14ac:dyDescent="0.3">
      <c r="B34" s="2"/>
      <c r="C34" s="58" t="s">
        <v>45</v>
      </c>
      <c r="D34" s="2"/>
      <c r="E34" s="2"/>
      <c r="F34" s="2"/>
      <c r="G34" s="2"/>
      <c r="H34" s="56">
        <f>H32</f>
        <v>0</v>
      </c>
      <c r="J34" s="46">
        <f>H19-H30</f>
        <v>0</v>
      </c>
    </row>
    <row r="35" spans="1:10" ht="15.75" thickTop="1" x14ac:dyDescent="0.25">
      <c r="B35" s="2"/>
      <c r="C35" s="19"/>
      <c r="D35" s="2"/>
      <c r="E35" s="2"/>
      <c r="F35" s="2"/>
      <c r="G35" s="2"/>
      <c r="H35" s="14"/>
    </row>
    <row r="36" spans="1:10" x14ac:dyDescent="0.25">
      <c r="B36" s="2"/>
      <c r="C36" s="19"/>
      <c r="D36" s="2"/>
      <c r="E36" s="2"/>
      <c r="F36" s="2"/>
      <c r="G36" s="2"/>
      <c r="H36" s="14"/>
    </row>
    <row r="37" spans="1:10" x14ac:dyDescent="0.25">
      <c r="B37" s="2"/>
      <c r="C37" s="19"/>
      <c r="D37" s="2"/>
      <c r="E37" s="2"/>
      <c r="F37" s="2"/>
      <c r="G37" s="2"/>
      <c r="H37" s="14"/>
    </row>
    <row r="38" spans="1:10" x14ac:dyDescent="0.25">
      <c r="B38" s="2"/>
      <c r="C38" s="19"/>
      <c r="D38" s="2"/>
      <c r="E38" s="2"/>
      <c r="F38" s="2"/>
      <c r="G38" s="2"/>
      <c r="H38" s="20"/>
    </row>
    <row r="40" spans="1:10" x14ac:dyDescent="0.25">
      <c r="A40" s="33" t="s">
        <v>285</v>
      </c>
      <c r="F40" s="2"/>
      <c r="H40" s="33" t="s">
        <v>241</v>
      </c>
    </row>
    <row r="41" spans="1:10" x14ac:dyDescent="0.25">
      <c r="A41" s="30" t="s">
        <v>286</v>
      </c>
      <c r="F41" s="23"/>
      <c r="H41" s="72" t="s">
        <v>25</v>
      </c>
    </row>
    <row r="42" spans="1:10" x14ac:dyDescent="0.25">
      <c r="B42" s="21"/>
      <c r="C42" s="21"/>
      <c r="E42" s="34"/>
      <c r="F42" s="23"/>
      <c r="H42" s="22"/>
    </row>
    <row r="43" spans="1:10" x14ac:dyDescent="0.25">
      <c r="D43" s="20"/>
      <c r="E43" s="23"/>
    </row>
    <row r="44" spans="1:10" x14ac:dyDescent="0.25">
      <c r="C44" s="23"/>
      <c r="D44" s="23"/>
    </row>
    <row r="45" spans="1:10" x14ac:dyDescent="0.25">
      <c r="A45" s="83" t="s">
        <v>164</v>
      </c>
      <c r="B45" s="83"/>
      <c r="C45" s="83"/>
      <c r="D45" s="83"/>
      <c r="E45" s="83"/>
      <c r="F45" s="83"/>
      <c r="G45" s="83"/>
      <c r="H45" s="83"/>
    </row>
    <row r="46" spans="1:10" x14ac:dyDescent="0.25">
      <c r="A46" s="82" t="s">
        <v>194</v>
      </c>
      <c r="B46" s="82"/>
      <c r="C46" s="82"/>
      <c r="D46" s="82"/>
      <c r="E46" s="82"/>
      <c r="F46" s="82"/>
      <c r="G46" s="82"/>
      <c r="H46" s="82"/>
    </row>
    <row r="47" spans="1:10" x14ac:dyDescent="0.25">
      <c r="B47" s="25"/>
      <c r="C47" s="25"/>
    </row>
    <row r="48" spans="1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6">
    <mergeCell ref="A11:I11"/>
    <mergeCell ref="A46:H46"/>
    <mergeCell ref="A45:H45"/>
    <mergeCell ref="A15:I15"/>
    <mergeCell ref="A13:I13"/>
    <mergeCell ref="A12:I12"/>
  </mergeCells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26"/>
  <sheetViews>
    <sheetView workbookViewId="0">
      <selection activeCell="A14" sqref="A14:F1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52.5703125" style="1" bestFit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4" t="s">
        <v>219</v>
      </c>
      <c r="B11" s="84"/>
      <c r="C11" s="84"/>
      <c r="D11" s="84"/>
      <c r="E11" s="84"/>
      <c r="F11" s="84"/>
      <c r="G11" s="13"/>
      <c r="H11" s="13"/>
      <c r="I11" s="13"/>
    </row>
    <row r="12" spans="1:9" x14ac:dyDescent="0.25">
      <c r="A12" s="85" t="s">
        <v>273</v>
      </c>
      <c r="B12" s="85"/>
      <c r="C12" s="85"/>
      <c r="D12" s="85"/>
      <c r="E12" s="85"/>
      <c r="F12" s="85"/>
      <c r="G12" s="71"/>
      <c r="H12" s="71"/>
      <c r="I12" s="71"/>
    </row>
    <row r="13" spans="1:9" x14ac:dyDescent="0.25">
      <c r="A13" s="85" t="s">
        <v>1</v>
      </c>
      <c r="B13" s="85"/>
      <c r="C13" s="85"/>
      <c r="D13" s="85"/>
      <c r="E13" s="85"/>
      <c r="F13" s="85"/>
      <c r="G13" s="71"/>
      <c r="H13" s="71"/>
      <c r="I13" s="71"/>
    </row>
    <row r="14" spans="1:9" x14ac:dyDescent="0.25">
      <c r="A14" s="87" t="s">
        <v>263</v>
      </c>
      <c r="B14" s="87"/>
      <c r="C14" s="87"/>
      <c r="D14" s="87"/>
      <c r="E14" s="87"/>
      <c r="F14" s="87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G16" s="3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66" t="s">
        <v>220</v>
      </c>
      <c r="D18" s="66"/>
      <c r="E18" s="2"/>
      <c r="F18" s="5" t="s">
        <v>3</v>
      </c>
      <c r="G18" s="2"/>
      <c r="H18" s="2"/>
    </row>
    <row r="19" spans="2:8" x14ac:dyDescent="0.25">
      <c r="B19" s="2"/>
      <c r="C19" s="2" t="s">
        <v>231</v>
      </c>
      <c r="D19" s="2"/>
      <c r="E19" s="2"/>
      <c r="F19" s="67">
        <f>'Estado de Resultado'!H19</f>
        <v>3819095169.6500001</v>
      </c>
      <c r="G19" s="2"/>
      <c r="H19" s="2"/>
    </row>
    <row r="20" spans="2:8" x14ac:dyDescent="0.25">
      <c r="B20" s="2"/>
      <c r="C20" s="2" t="s">
        <v>232</v>
      </c>
      <c r="D20" s="2"/>
      <c r="E20" s="2"/>
      <c r="F20" s="67">
        <v>0</v>
      </c>
      <c r="G20" s="2"/>
      <c r="H20" s="2"/>
    </row>
    <row r="21" spans="2:8" x14ac:dyDescent="0.25">
      <c r="B21" s="2"/>
      <c r="C21" s="2" t="s">
        <v>242</v>
      </c>
      <c r="D21" s="2"/>
      <c r="E21" s="2"/>
      <c r="F21" s="67">
        <f>'Estado de Resultado'!H20</f>
        <v>0</v>
      </c>
      <c r="G21" s="2"/>
      <c r="H21" s="2"/>
    </row>
    <row r="22" spans="2:8" x14ac:dyDescent="0.25">
      <c r="B22" s="2"/>
      <c r="C22" s="2" t="s">
        <v>233</v>
      </c>
      <c r="D22" s="2"/>
      <c r="E22" s="2"/>
      <c r="F22" s="67">
        <f>-'Estado de Resultado'!H27</f>
        <v>-3506082000.9700003</v>
      </c>
      <c r="G22" s="2"/>
      <c r="H22" s="2"/>
    </row>
    <row r="23" spans="2:8" x14ac:dyDescent="0.25">
      <c r="B23" s="2"/>
      <c r="C23" s="2" t="s">
        <v>234</v>
      </c>
      <c r="D23" s="2"/>
      <c r="E23" s="2"/>
      <c r="F23" s="67">
        <f>-'Estado de Resultado'!H24</f>
        <v>-207964633.04999998</v>
      </c>
      <c r="G23" s="2"/>
      <c r="H23" s="2"/>
    </row>
    <row r="24" spans="2:8" x14ac:dyDescent="0.25">
      <c r="B24" s="2"/>
      <c r="C24" s="2" t="s">
        <v>235</v>
      </c>
      <c r="D24" s="2"/>
      <c r="E24" s="2"/>
      <c r="F24" s="67">
        <f>-'Estado de Resultado'!H25-'Estado de Resultado'!H26-'Estado de Resultado'!H28</f>
        <v>-105048535.63</v>
      </c>
      <c r="G24" s="2"/>
      <c r="H24" s="2"/>
    </row>
    <row r="25" spans="2:8" x14ac:dyDescent="0.25">
      <c r="B25" s="2"/>
      <c r="C25" s="2" t="s">
        <v>236</v>
      </c>
      <c r="D25" s="2"/>
      <c r="E25" s="2"/>
      <c r="F25" s="67">
        <v>0</v>
      </c>
      <c r="G25" s="2"/>
      <c r="H25" s="2"/>
    </row>
    <row r="26" spans="2:8" x14ac:dyDescent="0.25">
      <c r="B26" s="2"/>
      <c r="C26" s="21" t="s">
        <v>221</v>
      </c>
      <c r="D26" s="21"/>
      <c r="E26" s="2"/>
      <c r="F26" s="68"/>
      <c r="G26" s="2"/>
      <c r="H26" s="2"/>
    </row>
    <row r="27" spans="2:8" x14ac:dyDescent="0.25">
      <c r="B27" s="2"/>
      <c r="C27" s="21" t="s">
        <v>222</v>
      </c>
      <c r="D27" s="21"/>
      <c r="E27" s="2"/>
      <c r="F27" s="69">
        <f>SUM(F19:F26)</f>
        <v>-1.4901161193847656E-7</v>
      </c>
      <c r="G27" s="2"/>
      <c r="H27" s="2"/>
    </row>
    <row r="28" spans="2:8" x14ac:dyDescent="0.25">
      <c r="B28" s="2"/>
      <c r="C28" s="2"/>
      <c r="D28" s="2"/>
      <c r="E28" s="2"/>
      <c r="F28" s="67"/>
      <c r="G28" s="2"/>
      <c r="H28" s="2"/>
    </row>
    <row r="29" spans="2:8" x14ac:dyDescent="0.25">
      <c r="B29" s="2"/>
      <c r="C29" s="2"/>
      <c r="D29" s="2"/>
      <c r="E29" s="2"/>
      <c r="F29" s="67"/>
      <c r="G29" s="2"/>
      <c r="H29" s="2"/>
    </row>
    <row r="30" spans="2:8" x14ac:dyDescent="0.25">
      <c r="B30" s="2"/>
      <c r="C30" s="66" t="s">
        <v>223</v>
      </c>
      <c r="D30" s="66"/>
      <c r="E30" s="2"/>
      <c r="F30" s="67"/>
      <c r="G30" s="2"/>
      <c r="H30" s="2"/>
    </row>
    <row r="31" spans="2:8" x14ac:dyDescent="0.25">
      <c r="B31" s="2"/>
      <c r="C31" s="2" t="s">
        <v>237</v>
      </c>
      <c r="D31" s="2"/>
      <c r="E31" s="2"/>
      <c r="F31" s="67">
        <f>0</f>
        <v>0</v>
      </c>
      <c r="G31" s="2"/>
      <c r="H31" s="2"/>
    </row>
    <row r="32" spans="2:8" x14ac:dyDescent="0.25">
      <c r="B32" s="2"/>
      <c r="C32" s="2" t="s">
        <v>262</v>
      </c>
      <c r="D32" s="2"/>
      <c r="E32" s="2"/>
      <c r="F32" s="67">
        <f>-'[1]Estado de Resultado'!H29</f>
        <v>0</v>
      </c>
      <c r="G32" s="2"/>
      <c r="H32" s="2"/>
    </row>
    <row r="33" spans="2:10" x14ac:dyDescent="0.25">
      <c r="B33" s="2"/>
      <c r="C33" s="21" t="s">
        <v>224</v>
      </c>
      <c r="D33" s="21"/>
      <c r="E33" s="2"/>
      <c r="F33" s="68"/>
      <c r="G33" s="2"/>
      <c r="H33" s="2"/>
    </row>
    <row r="34" spans="2:10" x14ac:dyDescent="0.25">
      <c r="B34" s="2"/>
      <c r="C34" s="21" t="s">
        <v>225</v>
      </c>
      <c r="D34" s="21"/>
      <c r="E34" s="2"/>
      <c r="F34" s="69">
        <f>SUM(F31:F33)</f>
        <v>0</v>
      </c>
      <c r="G34" s="2"/>
      <c r="H34" s="2"/>
    </row>
    <row r="35" spans="2:10" x14ac:dyDescent="0.25">
      <c r="B35" s="2"/>
      <c r="C35" s="2"/>
      <c r="D35" s="2"/>
      <c r="E35" s="2"/>
      <c r="F35" s="67"/>
      <c r="G35" s="2"/>
      <c r="H35" s="2"/>
    </row>
    <row r="36" spans="2:10" x14ac:dyDescent="0.25">
      <c r="B36" s="2"/>
      <c r="C36" s="2"/>
      <c r="D36" s="2"/>
      <c r="E36" s="2"/>
      <c r="F36" s="67"/>
      <c r="G36" s="2"/>
      <c r="H36" s="2"/>
      <c r="J36" s="16"/>
    </row>
    <row r="37" spans="2:10" x14ac:dyDescent="0.25">
      <c r="B37" s="2"/>
      <c r="C37" s="66" t="s">
        <v>226</v>
      </c>
      <c r="D37" s="66"/>
      <c r="E37" s="2"/>
      <c r="F37" s="67"/>
      <c r="G37" s="2"/>
      <c r="H37" s="2"/>
    </row>
    <row r="38" spans="2:10" x14ac:dyDescent="0.25">
      <c r="B38" s="2"/>
      <c r="C38" s="2" t="s">
        <v>238</v>
      </c>
      <c r="D38" s="2"/>
      <c r="E38" s="2"/>
      <c r="F38" s="67">
        <f>0</f>
        <v>0</v>
      </c>
      <c r="G38" s="2"/>
      <c r="H38" s="2"/>
    </row>
    <row r="39" spans="2:10" x14ac:dyDescent="0.25">
      <c r="B39" s="2"/>
      <c r="C39" s="2" t="s">
        <v>239</v>
      </c>
      <c r="D39" s="2"/>
      <c r="E39" s="2"/>
      <c r="F39" s="67">
        <f>0</f>
        <v>0</v>
      </c>
      <c r="G39" s="2"/>
      <c r="H39" s="2"/>
    </row>
    <row r="40" spans="2:10" x14ac:dyDescent="0.25">
      <c r="B40" s="2"/>
      <c r="C40" s="21" t="s">
        <v>221</v>
      </c>
      <c r="D40" s="21"/>
      <c r="E40" s="2"/>
      <c r="F40" s="68"/>
      <c r="G40" s="2"/>
      <c r="H40" s="2"/>
    </row>
    <row r="41" spans="2:10" x14ac:dyDescent="0.25">
      <c r="B41" s="2"/>
      <c r="C41" s="21" t="s">
        <v>227</v>
      </c>
      <c r="D41" s="21"/>
      <c r="E41" s="2"/>
      <c r="F41" s="69">
        <f>SUM(F38:F40)</f>
        <v>0</v>
      </c>
      <c r="G41" s="2"/>
      <c r="H41" s="2"/>
    </row>
    <row r="42" spans="2:10" x14ac:dyDescent="0.25">
      <c r="B42" s="2"/>
      <c r="C42" s="2"/>
      <c r="D42" s="2"/>
      <c r="E42" s="2"/>
      <c r="F42" s="67"/>
      <c r="G42" s="2"/>
      <c r="H42" s="2"/>
    </row>
    <row r="43" spans="2:10" x14ac:dyDescent="0.25">
      <c r="B43" s="2"/>
      <c r="C43" s="66" t="s">
        <v>240</v>
      </c>
      <c r="D43" s="66"/>
      <c r="E43" s="2"/>
      <c r="F43" s="67"/>
      <c r="G43" s="2"/>
      <c r="H43" s="2"/>
      <c r="I43" s="10"/>
    </row>
    <row r="44" spans="2:10" x14ac:dyDescent="0.25">
      <c r="B44" s="2"/>
      <c r="C44" s="2" t="s">
        <v>228</v>
      </c>
      <c r="D44" s="2"/>
      <c r="E44" s="2"/>
      <c r="F44" s="69">
        <f>F27+F34+F41</f>
        <v>-1.4901161193847656E-7</v>
      </c>
      <c r="G44" s="2"/>
      <c r="H44" s="2"/>
    </row>
    <row r="45" spans="2:10" x14ac:dyDescent="0.25">
      <c r="B45" s="18"/>
      <c r="C45" s="2"/>
      <c r="D45" s="2"/>
      <c r="E45" s="2"/>
      <c r="F45" s="67"/>
      <c r="G45" s="2"/>
      <c r="H45" s="18"/>
      <c r="J45" s="16"/>
    </row>
    <row r="46" spans="2:10" x14ac:dyDescent="0.25">
      <c r="B46" s="2"/>
      <c r="C46" s="2"/>
      <c r="D46" s="2"/>
      <c r="E46" s="2"/>
      <c r="F46" s="67"/>
      <c r="G46" s="2"/>
      <c r="H46" s="2"/>
    </row>
    <row r="47" spans="2:10" x14ac:dyDescent="0.25">
      <c r="B47" s="2"/>
      <c r="C47" s="2" t="s">
        <v>229</v>
      </c>
      <c r="D47" s="2"/>
      <c r="E47" s="2"/>
      <c r="F47" s="67">
        <f>0</f>
        <v>0</v>
      </c>
      <c r="G47" s="2"/>
      <c r="H47" s="2"/>
    </row>
    <row r="48" spans="2:10" x14ac:dyDescent="0.25">
      <c r="B48" s="2"/>
      <c r="C48" s="2"/>
      <c r="D48" s="2"/>
      <c r="E48" s="2"/>
      <c r="F48" s="67"/>
      <c r="G48" s="2"/>
      <c r="H48" s="2"/>
    </row>
    <row r="49" spans="2:10" x14ac:dyDescent="0.25">
      <c r="B49" s="2"/>
      <c r="C49" s="2"/>
      <c r="D49" s="2"/>
      <c r="E49" s="2"/>
      <c r="F49" s="67"/>
      <c r="G49" s="2"/>
      <c r="H49" s="2"/>
      <c r="I49" s="16"/>
    </row>
    <row r="50" spans="2:10" ht="15.75" thickBot="1" x14ac:dyDescent="0.3">
      <c r="C50" s="21" t="s">
        <v>230</v>
      </c>
      <c r="D50" s="21"/>
      <c r="E50" s="2"/>
      <c r="F50" s="70">
        <f>F44-F47</f>
        <v>-1.4901161193847656E-7</v>
      </c>
    </row>
    <row r="51" spans="2:10" ht="15.75" thickTop="1" x14ac:dyDescent="0.25">
      <c r="B51" s="21"/>
      <c r="C51" s="21"/>
      <c r="D51" s="21"/>
      <c r="F51" s="33"/>
      <c r="G51" s="23"/>
    </row>
    <row r="52" spans="2:10" x14ac:dyDescent="0.25">
      <c r="F52" s="32"/>
      <c r="G52" s="23"/>
    </row>
    <row r="54" spans="2:10" x14ac:dyDescent="0.25">
      <c r="C54" s="21"/>
      <c r="D54" s="21"/>
      <c r="E54" s="21"/>
      <c r="G54" s="34"/>
      <c r="H54" s="23"/>
      <c r="J54" s="22"/>
    </row>
    <row r="55" spans="2:10" x14ac:dyDescent="0.25">
      <c r="B55" s="25"/>
      <c r="F55" s="20"/>
      <c r="G55" s="23"/>
    </row>
    <row r="56" spans="2:10" x14ac:dyDescent="0.25">
      <c r="C56" s="33" t="s">
        <v>285</v>
      </c>
      <c r="D56" s="33"/>
      <c r="F56" s="33" t="s">
        <v>241</v>
      </c>
      <c r="H56" s="23"/>
    </row>
    <row r="57" spans="2:10" x14ac:dyDescent="0.25">
      <c r="C57" s="30" t="s">
        <v>286</v>
      </c>
      <c r="D57" s="30"/>
      <c r="F57" s="72" t="s">
        <v>25</v>
      </c>
    </row>
    <row r="58" spans="2:10" x14ac:dyDescent="0.25">
      <c r="B58" s="25"/>
    </row>
    <row r="59" spans="2:10" x14ac:dyDescent="0.25">
      <c r="I59" s="26"/>
    </row>
    <row r="60" spans="2:10" x14ac:dyDescent="0.25">
      <c r="C60" s="27"/>
      <c r="D60" s="27"/>
      <c r="I60" s="28"/>
    </row>
    <row r="62" spans="2:10" x14ac:dyDescent="0.25">
      <c r="C62" s="83" t="s">
        <v>164</v>
      </c>
      <c r="D62" s="83"/>
      <c r="E62" s="83"/>
      <c r="F62" s="83"/>
      <c r="G62" s="73"/>
      <c r="I62" s="28"/>
    </row>
    <row r="63" spans="2:10" x14ac:dyDescent="0.25">
      <c r="C63" s="82" t="s">
        <v>194</v>
      </c>
      <c r="D63" s="82"/>
      <c r="E63" s="82"/>
      <c r="F63" s="82"/>
      <c r="G63" s="74"/>
    </row>
    <row r="64" spans="2:10" x14ac:dyDescent="0.25">
      <c r="C64" s="27"/>
      <c r="D64" s="27"/>
      <c r="I64" s="28"/>
    </row>
    <row r="65" spans="2:9" x14ac:dyDescent="0.25">
      <c r="B65" s="25"/>
      <c r="C65" s="25"/>
      <c r="D65" s="25"/>
      <c r="I65" s="24"/>
    </row>
    <row r="66" spans="2:9" x14ac:dyDescent="0.25">
      <c r="B66" s="25"/>
      <c r="C66" s="25"/>
      <c r="D66" s="25"/>
      <c r="I66" s="24"/>
    </row>
    <row r="67" spans="2:9" x14ac:dyDescent="0.25">
      <c r="B67" s="25"/>
      <c r="C67" s="25"/>
      <c r="D67" s="25"/>
      <c r="I67" s="24"/>
    </row>
    <row r="68" spans="2:9" x14ac:dyDescent="0.25">
      <c r="B68" s="25"/>
      <c r="C68" s="25"/>
      <c r="D68" s="25"/>
      <c r="I68" s="24"/>
    </row>
    <row r="69" spans="2:9" x14ac:dyDescent="0.25">
      <c r="B69" s="25"/>
      <c r="C69" s="25"/>
      <c r="D69" s="25"/>
      <c r="I69" s="24"/>
    </row>
    <row r="70" spans="2:9" x14ac:dyDescent="0.25">
      <c r="B70" s="25"/>
      <c r="C70" s="25"/>
      <c r="D70" s="25"/>
      <c r="I70" s="24"/>
    </row>
    <row r="71" spans="2:9" x14ac:dyDescent="0.25">
      <c r="I71" s="26"/>
    </row>
    <row r="72" spans="2:9" x14ac:dyDescent="0.25">
      <c r="C72" s="27"/>
      <c r="D72" s="27"/>
      <c r="I72" s="28"/>
    </row>
    <row r="73" spans="2:9" x14ac:dyDescent="0.25">
      <c r="B73" s="25"/>
      <c r="C73" s="25"/>
      <c r="D73" s="25"/>
      <c r="I73" s="24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B77" s="25"/>
      <c r="C77" s="25"/>
      <c r="D77" s="25"/>
      <c r="I77" s="24"/>
    </row>
    <row r="78" spans="2:9" x14ac:dyDescent="0.25">
      <c r="B78" s="25"/>
      <c r="C78" s="25"/>
      <c r="D78" s="25"/>
      <c r="I78" s="24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9"/>
    </row>
    <row r="82" spans="2:9" x14ac:dyDescent="0.25">
      <c r="I82" s="26"/>
    </row>
    <row r="83" spans="2:9" x14ac:dyDescent="0.25">
      <c r="C83" s="27"/>
      <c r="D83" s="27"/>
      <c r="I83" s="28"/>
    </row>
    <row r="84" spans="2:9" x14ac:dyDescent="0.25">
      <c r="B84" s="25"/>
      <c r="C84" s="25"/>
      <c r="D84" s="25"/>
      <c r="I84" s="29"/>
    </row>
    <row r="85" spans="2:9" x14ac:dyDescent="0.25">
      <c r="B85" s="25"/>
      <c r="C85" s="25"/>
      <c r="D85" s="25"/>
      <c r="I85" s="29"/>
    </row>
    <row r="86" spans="2:9" x14ac:dyDescent="0.25">
      <c r="B86" s="25"/>
      <c r="C86" s="25"/>
      <c r="D86" s="25"/>
      <c r="I86" s="29"/>
    </row>
    <row r="87" spans="2:9" x14ac:dyDescent="0.25">
      <c r="B87" s="25"/>
      <c r="C87" s="25"/>
      <c r="D87" s="25"/>
      <c r="I87" s="29"/>
    </row>
    <row r="88" spans="2:9" x14ac:dyDescent="0.25">
      <c r="B88" s="25"/>
      <c r="C88" s="25"/>
      <c r="D88" s="25"/>
      <c r="I88" s="29"/>
    </row>
    <row r="89" spans="2:9" x14ac:dyDescent="0.25">
      <c r="B89" s="25"/>
      <c r="C89" s="25"/>
      <c r="D89" s="25"/>
      <c r="I89" s="29"/>
    </row>
    <row r="90" spans="2:9" x14ac:dyDescent="0.25">
      <c r="B90" s="25"/>
      <c r="C90" s="25"/>
      <c r="D90" s="25"/>
      <c r="I90" s="29"/>
    </row>
    <row r="91" spans="2:9" x14ac:dyDescent="0.25">
      <c r="B91" s="25"/>
      <c r="C91" s="25"/>
      <c r="D91" s="25"/>
      <c r="I91" s="29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B100" s="25"/>
      <c r="C100" s="25"/>
      <c r="D100" s="25"/>
      <c r="I100" s="24"/>
    </row>
    <row r="101" spans="2:9" x14ac:dyDescent="0.25">
      <c r="B101" s="25"/>
      <c r="C101" s="25"/>
      <c r="D101" s="25"/>
      <c r="I101" s="24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B108" s="25"/>
      <c r="C108" s="25"/>
      <c r="D108" s="25"/>
      <c r="I108" s="24"/>
    </row>
    <row r="109" spans="2:9" x14ac:dyDescent="0.25">
      <c r="B109" s="25"/>
      <c r="C109" s="25"/>
      <c r="D109" s="25"/>
      <c r="I109" s="24"/>
    </row>
    <row r="110" spans="2:9" x14ac:dyDescent="0.25">
      <c r="I110" s="26"/>
    </row>
    <row r="111" spans="2:9" x14ac:dyDescent="0.25">
      <c r="C111" s="27"/>
      <c r="D111" s="27"/>
      <c r="I111" s="28"/>
    </row>
    <row r="112" spans="2:9" x14ac:dyDescent="0.25">
      <c r="B112" s="25"/>
      <c r="C112" s="25"/>
      <c r="D112" s="25"/>
      <c r="I112" s="24"/>
    </row>
    <row r="113" spans="2:9" x14ac:dyDescent="0.25">
      <c r="I113" s="26"/>
    </row>
    <row r="114" spans="2:9" x14ac:dyDescent="0.25">
      <c r="C114" s="27"/>
      <c r="D114" s="27"/>
      <c r="I114" s="28"/>
    </row>
    <row r="115" spans="2:9" x14ac:dyDescent="0.25">
      <c r="B115" s="25"/>
      <c r="C115" s="25"/>
      <c r="D115" s="25"/>
      <c r="I115" s="24"/>
    </row>
    <row r="116" spans="2:9" x14ac:dyDescent="0.25">
      <c r="B116" s="25"/>
      <c r="C116" s="25"/>
      <c r="D116" s="25"/>
      <c r="I116" s="24"/>
    </row>
    <row r="117" spans="2:9" x14ac:dyDescent="0.25">
      <c r="B117" s="25"/>
      <c r="C117" s="25"/>
      <c r="D117" s="25"/>
      <c r="I117" s="24"/>
    </row>
    <row r="118" spans="2:9" x14ac:dyDescent="0.25">
      <c r="I118" s="26"/>
    </row>
    <row r="119" spans="2:9" x14ac:dyDescent="0.25">
      <c r="C119" s="27"/>
      <c r="D119" s="27"/>
      <c r="I119" s="28"/>
    </row>
    <row r="120" spans="2:9" x14ac:dyDescent="0.25">
      <c r="B120" s="25"/>
      <c r="C120" s="25"/>
      <c r="D120" s="25"/>
      <c r="I120" s="24"/>
    </row>
    <row r="121" spans="2:9" x14ac:dyDescent="0.25">
      <c r="B121" s="25"/>
      <c r="C121" s="25"/>
      <c r="D121" s="25"/>
      <c r="I121" s="24"/>
    </row>
    <row r="122" spans="2:9" x14ac:dyDescent="0.25">
      <c r="B122" s="25"/>
      <c r="C122" s="25"/>
      <c r="D122" s="25"/>
      <c r="I122" s="24"/>
    </row>
    <row r="123" spans="2:9" x14ac:dyDescent="0.25">
      <c r="B123" s="25"/>
      <c r="C123" s="25"/>
      <c r="D123" s="25"/>
      <c r="I123" s="24"/>
    </row>
    <row r="124" spans="2:9" x14ac:dyDescent="0.25">
      <c r="B124" s="25"/>
      <c r="C124" s="25"/>
      <c r="D124" s="25"/>
      <c r="I124" s="24"/>
    </row>
    <row r="125" spans="2:9" x14ac:dyDescent="0.25">
      <c r="B125" s="25"/>
      <c r="C125" s="25"/>
      <c r="D125" s="25"/>
      <c r="I125" s="24"/>
    </row>
    <row r="126" spans="2:9" x14ac:dyDescent="0.25">
      <c r="I126" s="26"/>
    </row>
  </sheetData>
  <mergeCells count="6">
    <mergeCell ref="A13:F13"/>
    <mergeCell ref="A12:F12"/>
    <mergeCell ref="A11:F11"/>
    <mergeCell ref="C62:F62"/>
    <mergeCell ref="C63:F63"/>
    <mergeCell ref="A14:F14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6"/>
  <sheetViews>
    <sheetView workbookViewId="0">
      <selection activeCell="A12" sqref="A12:H12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202</v>
      </c>
    </row>
    <row r="11" spans="1:8" ht="15.75" x14ac:dyDescent="0.25">
      <c r="A11" s="84" t="s">
        <v>46</v>
      </c>
      <c r="B11" s="84"/>
      <c r="C11" s="84"/>
      <c r="D11" s="84"/>
      <c r="E11" s="84"/>
      <c r="F11" s="84"/>
      <c r="G11" s="84"/>
      <c r="H11" s="84"/>
    </row>
    <row r="12" spans="1:8" x14ac:dyDescent="0.25">
      <c r="A12" s="85" t="s">
        <v>273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85" t="s">
        <v>1</v>
      </c>
      <c r="B13" s="85"/>
      <c r="C13" s="85"/>
      <c r="D13" s="85"/>
      <c r="E13" s="85"/>
      <c r="F13" s="85"/>
      <c r="G13" s="85"/>
      <c r="H13" s="85"/>
    </row>
    <row r="14" spans="1:8" x14ac:dyDescent="0.25">
      <c r="A14" s="80"/>
      <c r="B14" s="80"/>
      <c r="C14" s="80"/>
      <c r="D14" s="80"/>
      <c r="E14" s="80"/>
      <c r="F14" s="80"/>
      <c r="G14" s="80"/>
      <c r="H14" s="80"/>
    </row>
    <row r="15" spans="1:8" x14ac:dyDescent="0.25">
      <c r="A15" s="86" t="s">
        <v>263</v>
      </c>
      <c r="B15" s="86"/>
      <c r="C15" s="86"/>
      <c r="D15" s="86"/>
      <c r="E15" s="86"/>
      <c r="F15" s="86"/>
      <c r="G15" s="86"/>
      <c r="H15" s="86"/>
    </row>
    <row r="16" spans="1:8" x14ac:dyDescent="0.25">
      <c r="B16" s="2"/>
      <c r="C16" s="2"/>
      <c r="D16" s="2"/>
      <c r="F16" s="2"/>
      <c r="G16" s="2"/>
    </row>
    <row r="17" spans="2:10" x14ac:dyDescent="0.25">
      <c r="B17" s="35" t="s">
        <v>47</v>
      </c>
      <c r="C17" s="2"/>
      <c r="D17" s="2"/>
      <c r="E17" s="2"/>
      <c r="F17" s="2"/>
      <c r="G17" s="5" t="s">
        <v>50</v>
      </c>
    </row>
    <row r="18" spans="2:10" x14ac:dyDescent="0.25">
      <c r="B18" s="54" t="s">
        <v>48</v>
      </c>
      <c r="C18" s="2"/>
      <c r="E18" s="2"/>
      <c r="F18" s="2"/>
      <c r="G18" s="38">
        <v>0</v>
      </c>
    </row>
    <row r="19" spans="2:10" x14ac:dyDescent="0.25">
      <c r="B19" s="54" t="s">
        <v>49</v>
      </c>
      <c r="C19" s="2"/>
      <c r="E19" s="2"/>
      <c r="F19" s="2"/>
      <c r="G19" s="59">
        <f>10098.07</f>
        <v>10098.07</v>
      </c>
    </row>
    <row r="20" spans="2:10" x14ac:dyDescent="0.25">
      <c r="B20" s="8"/>
      <c r="C20" s="2"/>
      <c r="D20" s="2"/>
      <c r="E20" s="2"/>
      <c r="F20" s="2"/>
      <c r="G20" s="53">
        <f>SUM(G18:G19)</f>
        <v>10098.07</v>
      </c>
    </row>
    <row r="21" spans="2:10" x14ac:dyDescent="0.25">
      <c r="B21" s="8"/>
      <c r="C21" s="2"/>
      <c r="D21" s="2"/>
      <c r="E21" s="2"/>
      <c r="F21" s="2"/>
      <c r="G21" s="9"/>
    </row>
    <row r="22" spans="2:10" x14ac:dyDescent="0.25">
      <c r="B22" s="35" t="s">
        <v>51</v>
      </c>
      <c r="C22" s="2"/>
      <c r="D22" s="2"/>
      <c r="E22" s="2"/>
      <c r="F22" s="2"/>
      <c r="G22" s="5" t="s">
        <v>53</v>
      </c>
    </row>
    <row r="23" spans="2:10" x14ac:dyDescent="0.25">
      <c r="B23" s="54" t="s">
        <v>52</v>
      </c>
      <c r="C23" s="2"/>
      <c r="E23" s="2"/>
      <c r="F23" s="2"/>
      <c r="G23" s="37">
        <f>213743.78</f>
        <v>213743.78</v>
      </c>
    </row>
    <row r="24" spans="2:10" x14ac:dyDescent="0.25">
      <c r="B24" s="54"/>
      <c r="C24" s="2"/>
      <c r="D24" s="2"/>
      <c r="E24" s="2"/>
      <c r="F24" s="2"/>
      <c r="G24" s="39">
        <f>SUM(G23:G23)</f>
        <v>213743.78</v>
      </c>
    </row>
    <row r="25" spans="2:10" x14ac:dyDescent="0.25">
      <c r="B25" s="54"/>
      <c r="C25" s="2"/>
      <c r="D25" s="2"/>
      <c r="E25" s="2"/>
      <c r="F25" s="2"/>
      <c r="G25" s="11"/>
    </row>
    <row r="26" spans="2:10" x14ac:dyDescent="0.25">
      <c r="B26" s="35" t="s">
        <v>54</v>
      </c>
      <c r="C26" s="2"/>
      <c r="D26" s="2"/>
      <c r="E26" s="2"/>
      <c r="F26" s="2"/>
      <c r="G26" s="5" t="s">
        <v>55</v>
      </c>
    </row>
    <row r="27" spans="2:10" x14ac:dyDescent="0.25">
      <c r="B27" s="54" t="s">
        <v>56</v>
      </c>
      <c r="C27" s="2"/>
      <c r="D27" s="2"/>
      <c r="E27" s="2"/>
      <c r="F27" s="2"/>
      <c r="G27" s="38">
        <f>1439277399.25+1415528</f>
        <v>1440692927.25</v>
      </c>
      <c r="I27" s="38"/>
      <c r="J27" s="38"/>
    </row>
    <row r="28" spans="2:10" x14ac:dyDescent="0.25">
      <c r="B28" s="54" t="s">
        <v>57</v>
      </c>
      <c r="C28" s="2"/>
      <c r="D28" s="2"/>
      <c r="E28" s="2"/>
      <c r="F28" s="2"/>
      <c r="G28" s="38">
        <f>23064753.69+5900</f>
        <v>23070653.690000001</v>
      </c>
    </row>
    <row r="29" spans="2:10" x14ac:dyDescent="0.25">
      <c r="B29" s="54" t="s">
        <v>58</v>
      </c>
      <c r="C29" s="2"/>
      <c r="D29" s="2"/>
      <c r="E29" s="2"/>
      <c r="F29" s="2"/>
      <c r="G29" s="38">
        <f>618356.04</f>
        <v>618356.04</v>
      </c>
    </row>
    <row r="30" spans="2:10" x14ac:dyDescent="0.25">
      <c r="B30" s="54" t="s">
        <v>59</v>
      </c>
      <c r="C30" s="2"/>
      <c r="D30" s="2"/>
      <c r="E30" s="2"/>
      <c r="F30" s="2"/>
      <c r="G30" s="38">
        <f>102694232.45</f>
        <v>102694232.45</v>
      </c>
    </row>
    <row r="31" spans="2:10" x14ac:dyDescent="0.25">
      <c r="B31" s="54" t="s">
        <v>60</v>
      </c>
      <c r="C31" s="2"/>
      <c r="D31" s="2"/>
      <c r="E31" s="2"/>
      <c r="F31" s="2"/>
      <c r="G31" s="38">
        <v>136916727.36000001</v>
      </c>
      <c r="J31" s="46"/>
    </row>
    <row r="32" spans="2:10" x14ac:dyDescent="0.25">
      <c r="B32" s="54" t="s">
        <v>61</v>
      </c>
      <c r="C32" s="2"/>
      <c r="D32" s="2"/>
      <c r="E32" s="2"/>
      <c r="F32" s="2"/>
      <c r="G32" s="38">
        <v>163869.15</v>
      </c>
    </row>
    <row r="33" spans="2:10" x14ac:dyDescent="0.25">
      <c r="B33" s="54" t="s">
        <v>62</v>
      </c>
      <c r="C33" s="2"/>
      <c r="D33" s="2"/>
      <c r="E33" s="2"/>
      <c r="F33" s="2"/>
      <c r="G33" s="38">
        <v>168452570.38999999</v>
      </c>
      <c r="I33" s="38"/>
      <c r="J33" s="38"/>
    </row>
    <row r="34" spans="2:10" x14ac:dyDescent="0.25">
      <c r="B34" s="54" t="s">
        <v>63</v>
      </c>
      <c r="C34" s="2"/>
      <c r="D34" s="2"/>
      <c r="E34" s="2"/>
      <c r="F34" s="2"/>
      <c r="G34" s="59">
        <v>464065.88</v>
      </c>
    </row>
    <row r="35" spans="2:10" x14ac:dyDescent="0.25">
      <c r="B35" s="2"/>
      <c r="C35" s="2"/>
      <c r="D35" s="2"/>
      <c r="E35" s="2"/>
      <c r="F35" s="2"/>
      <c r="G35" s="41">
        <f>SUM(G27:G34)</f>
        <v>1873073402.21</v>
      </c>
    </row>
    <row r="36" spans="2:10" x14ac:dyDescent="0.25">
      <c r="B36" s="2"/>
      <c r="C36" s="2"/>
      <c r="D36" s="2"/>
      <c r="E36" s="2"/>
      <c r="F36" s="2"/>
      <c r="G36" s="9"/>
    </row>
    <row r="37" spans="2:10" x14ac:dyDescent="0.25">
      <c r="B37" s="35" t="s">
        <v>73</v>
      </c>
      <c r="C37" s="2"/>
      <c r="D37" s="2"/>
      <c r="E37" s="2"/>
      <c r="F37" s="2"/>
      <c r="G37" s="5" t="s">
        <v>64</v>
      </c>
    </row>
    <row r="38" spans="2:10" x14ac:dyDescent="0.25">
      <c r="B38" s="54" t="s">
        <v>65</v>
      </c>
      <c r="C38" s="2"/>
      <c r="D38" s="2"/>
      <c r="E38" s="2"/>
      <c r="F38" s="2"/>
      <c r="G38" s="38">
        <v>-183579889.64000002</v>
      </c>
    </row>
    <row r="39" spans="2:10" x14ac:dyDescent="0.25">
      <c r="B39" s="54" t="s">
        <v>66</v>
      </c>
      <c r="C39" s="2"/>
      <c r="D39" s="2"/>
      <c r="E39" s="2"/>
      <c r="F39" s="2"/>
      <c r="G39" s="38">
        <v>-8339966.6200000001</v>
      </c>
    </row>
    <row r="40" spans="2:10" x14ac:dyDescent="0.25">
      <c r="B40" s="54" t="s">
        <v>67</v>
      </c>
      <c r="C40" s="2"/>
      <c r="D40" s="2"/>
      <c r="E40" s="2"/>
      <c r="F40" s="2"/>
      <c r="G40" s="38">
        <v>-91615717.650000006</v>
      </c>
    </row>
    <row r="41" spans="2:10" x14ac:dyDescent="0.25">
      <c r="B41" s="54" t="s">
        <v>68</v>
      </c>
      <c r="C41" s="2"/>
      <c r="D41" s="2"/>
      <c r="E41" s="2"/>
      <c r="F41" s="2"/>
      <c r="G41" s="38">
        <v>-316619371.29000002</v>
      </c>
    </row>
    <row r="42" spans="2:10" x14ac:dyDescent="0.25">
      <c r="B42" s="54" t="s">
        <v>69</v>
      </c>
      <c r="C42" s="2"/>
      <c r="D42" s="2"/>
      <c r="E42" s="2"/>
      <c r="F42" s="2"/>
      <c r="G42" s="38">
        <v>-673043.17</v>
      </c>
    </row>
    <row r="43" spans="2:10" x14ac:dyDescent="0.25">
      <c r="B43" s="54" t="s">
        <v>70</v>
      </c>
      <c r="C43" s="2"/>
      <c r="D43" s="2"/>
      <c r="E43" s="2"/>
      <c r="F43" s="2"/>
      <c r="G43" s="38">
        <v>-9402605.1500000004</v>
      </c>
    </row>
    <row r="44" spans="2:10" x14ac:dyDescent="0.25">
      <c r="B44" s="54" t="s">
        <v>71</v>
      </c>
      <c r="C44" s="2"/>
      <c r="D44" s="2"/>
      <c r="E44" s="2"/>
      <c r="F44" s="2"/>
      <c r="G44" s="38">
        <v>-12739394.49</v>
      </c>
    </row>
    <row r="45" spans="2:10" x14ac:dyDescent="0.25">
      <c r="B45" s="54" t="s">
        <v>72</v>
      </c>
      <c r="C45" s="2"/>
      <c r="D45" s="2"/>
      <c r="E45" s="2"/>
      <c r="F45" s="2"/>
      <c r="G45" s="59">
        <v>-60112815.580000006</v>
      </c>
    </row>
    <row r="46" spans="2:10" x14ac:dyDescent="0.25">
      <c r="B46" s="19"/>
      <c r="C46" s="2"/>
      <c r="D46" s="2"/>
      <c r="E46" s="2"/>
      <c r="F46" s="2"/>
      <c r="G46" s="42">
        <f>SUM(G38:G45)</f>
        <v>-683082803.59000003</v>
      </c>
    </row>
    <row r="47" spans="2:10" x14ac:dyDescent="0.25">
      <c r="B47" s="19"/>
      <c r="C47" s="2"/>
      <c r="D47" s="2"/>
      <c r="E47" s="2"/>
      <c r="F47" s="2"/>
      <c r="G47" s="14"/>
    </row>
    <row r="49" spans="2:7" x14ac:dyDescent="0.25">
      <c r="B49" s="35" t="s">
        <v>75</v>
      </c>
      <c r="C49" s="2"/>
      <c r="D49" s="2"/>
      <c r="E49" s="2"/>
      <c r="F49" s="2"/>
      <c r="G49" s="5" t="s">
        <v>74</v>
      </c>
    </row>
    <row r="50" spans="2:7" x14ac:dyDescent="0.25">
      <c r="B50" s="54" t="s">
        <v>76</v>
      </c>
      <c r="C50" s="2"/>
      <c r="D50" s="2"/>
      <c r="E50" s="2"/>
      <c r="F50" s="2"/>
      <c r="G50" s="37">
        <f>232995571.45-105188819.84</f>
        <v>127806751.60999998</v>
      </c>
    </row>
    <row r="51" spans="2:7" x14ac:dyDescent="0.25">
      <c r="B51" s="19"/>
      <c r="C51" s="2"/>
      <c r="D51" s="2"/>
      <c r="E51" s="2"/>
      <c r="F51" s="2"/>
      <c r="G51" s="39">
        <f>SUM(G50)</f>
        <v>127806751.60999998</v>
      </c>
    </row>
    <row r="56" spans="2:7" x14ac:dyDescent="0.25">
      <c r="C56" s="2"/>
      <c r="D56" s="2"/>
      <c r="E56" s="2"/>
      <c r="F56" s="2"/>
      <c r="G56" s="14"/>
    </row>
    <row r="59" spans="2:7" x14ac:dyDescent="0.25">
      <c r="B59" s="44" t="s">
        <v>77</v>
      </c>
      <c r="C59" s="2"/>
      <c r="D59" s="2"/>
      <c r="E59" s="2"/>
      <c r="F59" s="2"/>
      <c r="G59" s="5" t="s">
        <v>78</v>
      </c>
    </row>
    <row r="60" spans="2:7" x14ac:dyDescent="0.25">
      <c r="B60" s="54" t="s">
        <v>79</v>
      </c>
      <c r="C60" s="2"/>
      <c r="D60" s="2"/>
      <c r="E60" s="2"/>
      <c r="F60" s="2"/>
      <c r="G60" s="37">
        <v>0</v>
      </c>
    </row>
    <row r="61" spans="2:7" x14ac:dyDescent="0.25">
      <c r="B61" s="19"/>
      <c r="C61" s="2"/>
      <c r="D61" s="2"/>
      <c r="E61" s="2"/>
      <c r="F61" s="2"/>
      <c r="G61" s="45">
        <f>SUM(G60)</f>
        <v>0</v>
      </c>
    </row>
    <row r="62" spans="2:7" x14ac:dyDescent="0.25">
      <c r="B62" s="19"/>
      <c r="C62" s="2"/>
      <c r="D62" s="2"/>
      <c r="E62" s="2"/>
      <c r="F62" s="2"/>
      <c r="G62" s="14"/>
    </row>
    <row r="63" spans="2:7" x14ac:dyDescent="0.25">
      <c r="B63" s="19"/>
      <c r="C63" s="2"/>
      <c r="D63" s="2"/>
      <c r="E63" s="2"/>
      <c r="F63" s="2"/>
      <c r="G63" s="14"/>
    </row>
    <row r="64" spans="2:7" x14ac:dyDescent="0.25">
      <c r="B64" s="44" t="s">
        <v>18</v>
      </c>
      <c r="C64" s="2"/>
      <c r="D64" s="2"/>
      <c r="E64" s="2"/>
      <c r="F64" s="2"/>
      <c r="G64" s="5" t="s">
        <v>80</v>
      </c>
    </row>
    <row r="65" spans="1:12" x14ac:dyDescent="0.25">
      <c r="B65" s="19"/>
      <c r="C65" s="2"/>
      <c r="D65" s="2"/>
      <c r="E65" s="2"/>
      <c r="F65" s="2"/>
      <c r="G65" s="14"/>
      <c r="L65" s="46"/>
    </row>
    <row r="66" spans="1:12" x14ac:dyDescent="0.25">
      <c r="B66" s="19"/>
      <c r="C66" s="2"/>
      <c r="D66" s="2"/>
      <c r="E66" s="2"/>
      <c r="F66" s="2"/>
      <c r="G66" s="14"/>
      <c r="L66" s="46"/>
    </row>
    <row r="67" spans="1:12" x14ac:dyDescent="0.25">
      <c r="B67" s="35" t="s">
        <v>85</v>
      </c>
      <c r="C67" s="2"/>
      <c r="D67" s="2"/>
      <c r="E67" s="2"/>
      <c r="F67" s="2"/>
      <c r="G67" s="5" t="s">
        <v>81</v>
      </c>
      <c r="J67" s="46"/>
    </row>
    <row r="68" spans="1:12" x14ac:dyDescent="0.25">
      <c r="B68" s="54" t="s">
        <v>82</v>
      </c>
      <c r="C68" s="2"/>
      <c r="D68" s="2"/>
      <c r="E68" s="2"/>
      <c r="F68" s="2"/>
      <c r="G68" s="38">
        <v>30085107.350000009</v>
      </c>
      <c r="J68" s="46"/>
    </row>
    <row r="69" spans="1:12" x14ac:dyDescent="0.25">
      <c r="B69" s="54" t="s">
        <v>83</v>
      </c>
      <c r="C69" s="2"/>
      <c r="D69" s="2"/>
      <c r="E69" s="2"/>
      <c r="F69" s="2"/>
      <c r="G69" s="38">
        <v>20310400.649999917</v>
      </c>
    </row>
    <row r="70" spans="1:12" x14ac:dyDescent="0.25">
      <c r="B70" s="54" t="s">
        <v>84</v>
      </c>
      <c r="C70" s="2"/>
      <c r="D70" s="2"/>
      <c r="E70" s="2"/>
      <c r="F70" s="2"/>
      <c r="G70" s="38">
        <v>41222503.950000003</v>
      </c>
    </row>
    <row r="71" spans="1:12" x14ac:dyDescent="0.25">
      <c r="B71" s="54" t="s">
        <v>145</v>
      </c>
      <c r="C71" s="2"/>
      <c r="D71" s="2"/>
      <c r="E71" s="2"/>
      <c r="F71" s="2"/>
      <c r="G71" s="59">
        <f>852941890.37+40537050.65+77310735.89</f>
        <v>970789676.90999997</v>
      </c>
      <c r="I71" s="38"/>
    </row>
    <row r="72" spans="1:12" x14ac:dyDescent="0.25">
      <c r="B72" s="19"/>
      <c r="C72" s="2"/>
      <c r="D72" s="2"/>
      <c r="E72" s="2"/>
      <c r="F72" s="2"/>
      <c r="G72" s="9">
        <f>SUM(G68:G71)</f>
        <v>1062407688.8599999</v>
      </c>
      <c r="J72" s="38"/>
    </row>
    <row r="73" spans="1:12" x14ac:dyDescent="0.25">
      <c r="B73" s="19"/>
      <c r="C73" s="2"/>
      <c r="D73" s="2"/>
      <c r="E73" s="2"/>
      <c r="F73" s="2"/>
      <c r="G73" s="20"/>
    </row>
    <row r="76" spans="1:12" x14ac:dyDescent="0.25">
      <c r="A76" s="78"/>
      <c r="B76" s="4" t="s">
        <v>90</v>
      </c>
      <c r="C76" s="2"/>
      <c r="D76" s="2"/>
      <c r="E76" s="2"/>
      <c r="G76" s="5" t="s">
        <v>92</v>
      </c>
    </row>
    <row r="77" spans="1:12" x14ac:dyDescent="0.25">
      <c r="A77" s="77"/>
      <c r="B77" s="54" t="s">
        <v>91</v>
      </c>
      <c r="C77" s="2"/>
      <c r="E77" s="2"/>
      <c r="G77" s="38">
        <f>3819095169.65</f>
        <v>3819095169.6500001</v>
      </c>
    </row>
    <row r="78" spans="1:12" x14ac:dyDescent="0.25">
      <c r="A78" s="77"/>
      <c r="B78" s="54" t="s">
        <v>34</v>
      </c>
      <c r="C78" s="2"/>
      <c r="E78" s="2"/>
      <c r="G78" s="36">
        <v>0</v>
      </c>
    </row>
    <row r="79" spans="1:12" x14ac:dyDescent="0.25">
      <c r="B79" s="8"/>
      <c r="C79" s="2"/>
      <c r="D79" s="2"/>
      <c r="E79" s="2"/>
      <c r="G79" s="40">
        <f>SUM(G77:G78)</f>
        <v>3819095169.6500001</v>
      </c>
      <c r="J79" s="46"/>
    </row>
    <row r="84" spans="1:13" x14ac:dyDescent="0.25">
      <c r="A84" s="78"/>
      <c r="B84" s="55" t="s">
        <v>86</v>
      </c>
      <c r="G84" s="5" t="s">
        <v>93</v>
      </c>
    </row>
    <row r="85" spans="1:13" x14ac:dyDescent="0.25">
      <c r="B85" s="54" t="s">
        <v>95</v>
      </c>
      <c r="G85" s="38">
        <f>86298100.12</f>
        <v>86298100.120000005</v>
      </c>
    </row>
    <row r="86" spans="1:13" x14ac:dyDescent="0.25">
      <c r="B86" s="54" t="s">
        <v>252</v>
      </c>
      <c r="G86" s="38">
        <f>12681100</f>
        <v>12681100</v>
      </c>
    </row>
    <row r="87" spans="1:13" x14ac:dyDescent="0.25">
      <c r="B87" s="54" t="s">
        <v>96</v>
      </c>
      <c r="G87" s="38">
        <f>73843977.5</f>
        <v>73843977.5</v>
      </c>
    </row>
    <row r="88" spans="1:13" x14ac:dyDescent="0.25">
      <c r="B88" s="54" t="s">
        <v>175</v>
      </c>
      <c r="G88" s="38"/>
    </row>
    <row r="89" spans="1:13" x14ac:dyDescent="0.25">
      <c r="B89" s="54" t="s">
        <v>97</v>
      </c>
      <c r="G89" s="38"/>
    </row>
    <row r="90" spans="1:13" x14ac:dyDescent="0.25">
      <c r="B90" s="54" t="s">
        <v>253</v>
      </c>
      <c r="G90" s="38">
        <f>1741400</f>
        <v>1741400</v>
      </c>
      <c r="M90" s="50"/>
    </row>
    <row r="91" spans="1:13" x14ac:dyDescent="0.25">
      <c r="B91" s="54" t="s">
        <v>254</v>
      </c>
      <c r="G91" s="38">
        <f>1600811.48</f>
        <v>1600811.48</v>
      </c>
    </row>
    <row r="92" spans="1:13" x14ac:dyDescent="0.25">
      <c r="B92" s="54" t="s">
        <v>98</v>
      </c>
      <c r="G92" s="62">
        <f>1299489.41</f>
        <v>1299489.4099999999</v>
      </c>
    </row>
    <row r="93" spans="1:13" x14ac:dyDescent="0.25">
      <c r="B93" s="54" t="s">
        <v>99</v>
      </c>
      <c r="C93" s="38"/>
      <c r="G93" s="38">
        <f>70000</f>
        <v>70000</v>
      </c>
    </row>
    <row r="94" spans="1:13" x14ac:dyDescent="0.25">
      <c r="B94" s="54" t="s">
        <v>100</v>
      </c>
      <c r="G94" s="62">
        <f>5953730</f>
        <v>5953730</v>
      </c>
    </row>
    <row r="95" spans="1:13" x14ac:dyDescent="0.25">
      <c r="B95" s="54" t="s">
        <v>264</v>
      </c>
      <c r="G95" s="38"/>
    </row>
    <row r="96" spans="1:13" x14ac:dyDescent="0.25">
      <c r="B96" s="60" t="s">
        <v>274</v>
      </c>
      <c r="G96" s="38">
        <f>50250</f>
        <v>50250</v>
      </c>
    </row>
    <row r="97" spans="1:12" x14ac:dyDescent="0.25">
      <c r="B97" s="60" t="s">
        <v>170</v>
      </c>
      <c r="G97" s="38"/>
    </row>
    <row r="98" spans="1:12" x14ac:dyDescent="0.25">
      <c r="B98" s="60" t="s">
        <v>176</v>
      </c>
      <c r="G98" s="38"/>
    </row>
    <row r="99" spans="1:12" x14ac:dyDescent="0.25">
      <c r="B99" s="54" t="s">
        <v>101</v>
      </c>
      <c r="G99" s="38">
        <f>11347016.92</f>
        <v>11347016.92</v>
      </c>
    </row>
    <row r="100" spans="1:12" x14ac:dyDescent="0.25">
      <c r="B100" s="54" t="s">
        <v>102</v>
      </c>
      <c r="G100" s="38">
        <f>11370086.75</f>
        <v>11370086.75</v>
      </c>
    </row>
    <row r="101" spans="1:12" x14ac:dyDescent="0.25">
      <c r="B101" s="54" t="s">
        <v>103</v>
      </c>
      <c r="G101" s="38">
        <f>1708670.87</f>
        <v>1708670.87</v>
      </c>
    </row>
    <row r="102" spans="1:12" x14ac:dyDescent="0.25">
      <c r="G102" s="40">
        <f>G85+G86+G87+G88+G89+G90+G91+G92+G93+G94+G95+G96+G97+G98+G99+G100+G101</f>
        <v>207964633.04999998</v>
      </c>
      <c r="I102" s="38">
        <v>207964633.05000001</v>
      </c>
      <c r="J102" s="46">
        <f>G102-I102</f>
        <v>0</v>
      </c>
    </row>
    <row r="103" spans="1:12" x14ac:dyDescent="0.25">
      <c r="H103" s="24"/>
      <c r="L103" s="46"/>
    </row>
    <row r="104" spans="1:12" x14ac:dyDescent="0.25">
      <c r="H104" s="26"/>
    </row>
    <row r="105" spans="1:12" x14ac:dyDescent="0.25">
      <c r="H105" s="28"/>
    </row>
    <row r="106" spans="1:12" x14ac:dyDescent="0.25">
      <c r="H106" s="24"/>
    </row>
    <row r="107" spans="1:12" x14ac:dyDescent="0.25">
      <c r="H107" s="24"/>
    </row>
    <row r="108" spans="1:12" x14ac:dyDescent="0.25">
      <c r="H108" s="24"/>
    </row>
    <row r="109" spans="1:12" x14ac:dyDescent="0.25">
      <c r="H109" s="24"/>
    </row>
    <row r="110" spans="1:12" x14ac:dyDescent="0.25">
      <c r="H110" s="29"/>
    </row>
    <row r="111" spans="1:12" x14ac:dyDescent="0.25">
      <c r="A111" s="78"/>
      <c r="B111" s="48" t="s">
        <v>87</v>
      </c>
      <c r="C111" s="38"/>
      <c r="E111" s="46"/>
      <c r="G111" s="5" t="s">
        <v>94</v>
      </c>
      <c r="H111" s="29"/>
    </row>
    <row r="112" spans="1:12" x14ac:dyDescent="0.25">
      <c r="B112" s="54" t="s">
        <v>177</v>
      </c>
      <c r="C112" s="38"/>
      <c r="E112" s="46"/>
      <c r="G112" s="38">
        <v>0</v>
      </c>
      <c r="H112" s="29"/>
    </row>
    <row r="113" spans="2:9" x14ac:dyDescent="0.25">
      <c r="B113" s="54" t="s">
        <v>172</v>
      </c>
      <c r="C113" s="38"/>
      <c r="E113" s="46"/>
      <c r="G113" s="38">
        <v>0</v>
      </c>
      <c r="H113" s="29"/>
    </row>
    <row r="114" spans="2:9" x14ac:dyDescent="0.25">
      <c r="B114" s="54" t="s">
        <v>104</v>
      </c>
      <c r="G114" s="38">
        <f>6273741.56</f>
        <v>6273741.5599999996</v>
      </c>
      <c r="H114" s="29"/>
    </row>
    <row r="115" spans="2:9" x14ac:dyDescent="0.25">
      <c r="B115" s="54" t="s">
        <v>105</v>
      </c>
      <c r="G115" s="38">
        <f>3817582.2</f>
        <v>3817582.2</v>
      </c>
      <c r="H115" s="29"/>
    </row>
    <row r="116" spans="2:9" x14ac:dyDescent="0.25">
      <c r="B116" s="54" t="s">
        <v>106</v>
      </c>
      <c r="G116" s="38">
        <f>3819280.54</f>
        <v>3819280.54</v>
      </c>
      <c r="H116" s="29"/>
    </row>
    <row r="117" spans="2:9" x14ac:dyDescent="0.25">
      <c r="B117" s="54" t="s">
        <v>107</v>
      </c>
      <c r="G117" s="38">
        <v>0</v>
      </c>
      <c r="H117" s="29"/>
    </row>
    <row r="118" spans="2:9" x14ac:dyDescent="0.25">
      <c r="B118" s="54" t="s">
        <v>165</v>
      </c>
      <c r="G118" s="38">
        <v>0</v>
      </c>
      <c r="H118" s="29"/>
      <c r="I118" s="38"/>
    </row>
    <row r="119" spans="2:9" x14ac:dyDescent="0.25">
      <c r="B119" s="54" t="s">
        <v>108</v>
      </c>
      <c r="G119" s="38">
        <v>0</v>
      </c>
      <c r="H119" s="29"/>
      <c r="I119" s="38"/>
    </row>
    <row r="120" spans="2:9" x14ac:dyDescent="0.25">
      <c r="B120" s="54" t="s">
        <v>255</v>
      </c>
      <c r="G120" s="38">
        <f>111348.93</f>
        <v>111348.93</v>
      </c>
      <c r="H120" s="29"/>
      <c r="I120" s="38"/>
    </row>
    <row r="121" spans="2:9" x14ac:dyDescent="0.25">
      <c r="B121" s="54" t="s">
        <v>109</v>
      </c>
      <c r="G121" s="38">
        <v>0</v>
      </c>
      <c r="H121" s="29"/>
    </row>
    <row r="122" spans="2:9" x14ac:dyDescent="0.25">
      <c r="B122" s="60" t="s">
        <v>110</v>
      </c>
      <c r="G122" s="38">
        <f>2145265.49</f>
        <v>2145265.4900000002</v>
      </c>
      <c r="H122" s="29"/>
    </row>
    <row r="123" spans="2:9" x14ac:dyDescent="0.25">
      <c r="B123" s="60" t="s">
        <v>195</v>
      </c>
      <c r="G123" s="38">
        <f>184365</f>
        <v>184365</v>
      </c>
      <c r="H123" s="29"/>
    </row>
    <row r="124" spans="2:9" x14ac:dyDescent="0.25">
      <c r="B124" s="54" t="s">
        <v>111</v>
      </c>
      <c r="G124" s="38">
        <v>0</v>
      </c>
      <c r="H124" s="29"/>
    </row>
    <row r="125" spans="2:9" x14ac:dyDescent="0.25">
      <c r="B125" s="54" t="s">
        <v>197</v>
      </c>
      <c r="G125" s="38">
        <v>0</v>
      </c>
      <c r="H125" s="29"/>
    </row>
    <row r="126" spans="2:9" x14ac:dyDescent="0.25">
      <c r="B126" s="54" t="s">
        <v>112</v>
      </c>
      <c r="G126" s="38">
        <f>500000</f>
        <v>500000</v>
      </c>
      <c r="H126" s="29"/>
    </row>
    <row r="127" spans="2:9" x14ac:dyDescent="0.25">
      <c r="B127" s="54" t="s">
        <v>113</v>
      </c>
      <c r="G127" s="38">
        <v>4225007.76</v>
      </c>
      <c r="H127" s="26"/>
    </row>
    <row r="128" spans="2:9" x14ac:dyDescent="0.25">
      <c r="B128" s="54" t="s">
        <v>114</v>
      </c>
      <c r="G128" s="38">
        <f>135152</f>
        <v>135152</v>
      </c>
      <c r="H128" s="28"/>
    </row>
    <row r="129" spans="2:8" x14ac:dyDescent="0.25">
      <c r="B129" s="54" t="s">
        <v>115</v>
      </c>
      <c r="G129" s="38">
        <v>0</v>
      </c>
      <c r="H129" s="24"/>
    </row>
    <row r="130" spans="2:8" x14ac:dyDescent="0.25">
      <c r="B130" s="54" t="s">
        <v>156</v>
      </c>
      <c r="G130" s="38">
        <v>0</v>
      </c>
      <c r="H130" s="26"/>
    </row>
    <row r="131" spans="2:8" x14ac:dyDescent="0.25">
      <c r="B131" s="54" t="s">
        <v>256</v>
      </c>
      <c r="G131" s="38">
        <v>0</v>
      </c>
      <c r="H131" s="26"/>
    </row>
    <row r="132" spans="2:8" x14ac:dyDescent="0.25">
      <c r="B132" s="54" t="s">
        <v>178</v>
      </c>
      <c r="G132" s="38">
        <v>0</v>
      </c>
      <c r="H132" s="26"/>
    </row>
    <row r="133" spans="2:8" x14ac:dyDescent="0.25">
      <c r="B133" s="54" t="s">
        <v>157</v>
      </c>
      <c r="G133" s="38">
        <v>0</v>
      </c>
      <c r="H133" s="24"/>
    </row>
    <row r="134" spans="2:8" x14ac:dyDescent="0.25">
      <c r="B134" s="54" t="s">
        <v>166</v>
      </c>
      <c r="G134" s="38">
        <v>0</v>
      </c>
      <c r="H134" s="24"/>
    </row>
    <row r="135" spans="2:8" x14ac:dyDescent="0.25">
      <c r="B135" s="54" t="s">
        <v>116</v>
      </c>
      <c r="G135" s="38">
        <v>0</v>
      </c>
      <c r="H135" s="24"/>
    </row>
    <row r="136" spans="2:8" x14ac:dyDescent="0.25">
      <c r="B136" s="60" t="s">
        <v>117</v>
      </c>
      <c r="G136" s="38">
        <f>3904015.67</f>
        <v>3904015.67</v>
      </c>
      <c r="H136" s="24"/>
    </row>
    <row r="137" spans="2:8" x14ac:dyDescent="0.25">
      <c r="B137" s="60" t="s">
        <v>167</v>
      </c>
      <c r="G137" s="38">
        <v>0</v>
      </c>
      <c r="H137" s="24"/>
    </row>
    <row r="138" spans="2:8" x14ac:dyDescent="0.25">
      <c r="B138" s="54" t="s">
        <v>118</v>
      </c>
      <c r="G138" s="38">
        <v>0</v>
      </c>
      <c r="H138" s="24"/>
    </row>
    <row r="139" spans="2:8" x14ac:dyDescent="0.25">
      <c r="B139" s="54" t="s">
        <v>119</v>
      </c>
      <c r="G139" s="38">
        <v>0</v>
      </c>
      <c r="H139" s="24"/>
    </row>
    <row r="140" spans="2:8" x14ac:dyDescent="0.25">
      <c r="B140" s="54" t="s">
        <v>120</v>
      </c>
      <c r="G140" s="38">
        <v>0</v>
      </c>
      <c r="H140" s="24"/>
    </row>
    <row r="141" spans="2:8" x14ac:dyDescent="0.25">
      <c r="B141" s="54" t="s">
        <v>171</v>
      </c>
      <c r="G141" s="38">
        <v>0</v>
      </c>
      <c r="H141" s="24"/>
    </row>
    <row r="142" spans="2:8" x14ac:dyDescent="0.25">
      <c r="B142" s="54" t="s">
        <v>179</v>
      </c>
      <c r="G142" s="38">
        <v>0</v>
      </c>
      <c r="H142" s="24"/>
    </row>
    <row r="143" spans="2:8" x14ac:dyDescent="0.25">
      <c r="B143" s="54" t="s">
        <v>180</v>
      </c>
      <c r="G143" s="38">
        <v>0</v>
      </c>
      <c r="H143" s="24"/>
    </row>
    <row r="144" spans="2:8" x14ac:dyDescent="0.25">
      <c r="B144" s="54" t="s">
        <v>196</v>
      </c>
      <c r="G144" s="38">
        <v>0</v>
      </c>
      <c r="H144" s="24"/>
    </row>
    <row r="145" spans="2:8" x14ac:dyDescent="0.25">
      <c r="B145" s="54" t="s">
        <v>121</v>
      </c>
      <c r="G145" s="38">
        <v>0</v>
      </c>
      <c r="H145" s="24"/>
    </row>
    <row r="146" spans="2:8" x14ac:dyDescent="0.25">
      <c r="B146" s="54" t="s">
        <v>181</v>
      </c>
      <c r="G146" s="38">
        <v>0</v>
      </c>
      <c r="H146" s="24"/>
    </row>
    <row r="147" spans="2:8" x14ac:dyDescent="0.25">
      <c r="B147" s="54" t="s">
        <v>122</v>
      </c>
      <c r="G147" s="38">
        <f>856891.22</f>
        <v>856891.22</v>
      </c>
      <c r="H147" s="24"/>
    </row>
    <row r="148" spans="2:8" x14ac:dyDescent="0.25">
      <c r="B148" s="54" t="s">
        <v>168</v>
      </c>
      <c r="G148" s="38">
        <f>116289</f>
        <v>116289</v>
      </c>
      <c r="H148" s="24"/>
    </row>
    <row r="149" spans="2:8" x14ac:dyDescent="0.25">
      <c r="B149" s="54" t="s">
        <v>182</v>
      </c>
      <c r="G149" s="38">
        <v>0</v>
      </c>
      <c r="H149" s="24"/>
    </row>
    <row r="150" spans="2:8" x14ac:dyDescent="0.25">
      <c r="B150" s="54" t="s">
        <v>123</v>
      </c>
      <c r="G150" s="38">
        <f>29659920</f>
        <v>29659920</v>
      </c>
      <c r="H150" s="24"/>
    </row>
    <row r="151" spans="2:8" x14ac:dyDescent="0.25">
      <c r="B151" s="54" t="s">
        <v>265</v>
      </c>
      <c r="G151" s="38">
        <v>0</v>
      </c>
      <c r="H151" s="24"/>
    </row>
    <row r="152" spans="2:8" x14ac:dyDescent="0.25">
      <c r="B152" s="54" t="s">
        <v>266</v>
      </c>
      <c r="G152" s="38">
        <v>0</v>
      </c>
      <c r="H152" s="24"/>
    </row>
    <row r="153" spans="2:8" x14ac:dyDescent="0.25">
      <c r="B153" s="54" t="s">
        <v>267</v>
      </c>
      <c r="G153" s="38">
        <f>395890</f>
        <v>395890</v>
      </c>
      <c r="H153" s="24"/>
    </row>
    <row r="154" spans="2:8" x14ac:dyDescent="0.25">
      <c r="B154" s="54" t="s">
        <v>268</v>
      </c>
      <c r="G154" s="38">
        <v>0</v>
      </c>
      <c r="H154" s="24"/>
    </row>
    <row r="155" spans="2:8" x14ac:dyDescent="0.25">
      <c r="B155" s="54" t="s">
        <v>124</v>
      </c>
      <c r="G155" s="38">
        <f>140561.6</f>
        <v>140561.60000000001</v>
      </c>
      <c r="H155" s="24"/>
    </row>
    <row r="156" spans="2:8" x14ac:dyDescent="0.25">
      <c r="B156" s="54" t="s">
        <v>199</v>
      </c>
      <c r="G156" s="38">
        <v>0</v>
      </c>
      <c r="H156" s="24"/>
    </row>
    <row r="157" spans="2:8" x14ac:dyDescent="0.25">
      <c r="B157" s="54" t="s">
        <v>125</v>
      </c>
      <c r="G157" s="38">
        <v>0</v>
      </c>
      <c r="H157" s="24"/>
    </row>
    <row r="158" spans="2:8" x14ac:dyDescent="0.25">
      <c r="B158" s="60" t="s">
        <v>163</v>
      </c>
      <c r="G158" s="38">
        <v>200000.56</v>
      </c>
      <c r="H158" s="24"/>
    </row>
    <row r="159" spans="2:8" x14ac:dyDescent="0.25">
      <c r="B159" s="54" t="s">
        <v>126</v>
      </c>
      <c r="G159" s="38">
        <f>1700000</f>
        <v>1700000</v>
      </c>
      <c r="H159" s="24"/>
    </row>
    <row r="160" spans="2:8" x14ac:dyDescent="0.25">
      <c r="B160" s="54" t="s">
        <v>127</v>
      </c>
      <c r="G160" s="38">
        <v>0</v>
      </c>
      <c r="H160" s="24"/>
    </row>
    <row r="161" spans="1:10" x14ac:dyDescent="0.25">
      <c r="B161" s="54" t="s">
        <v>269</v>
      </c>
      <c r="G161" s="38">
        <f>608030.72</f>
        <v>608030.71999999997</v>
      </c>
      <c r="H161" s="24"/>
    </row>
    <row r="162" spans="1:10" x14ac:dyDescent="0.25">
      <c r="B162" s="60" t="s">
        <v>257</v>
      </c>
      <c r="G162" s="38">
        <f>580602.5</f>
        <v>580602.5</v>
      </c>
      <c r="H162" s="24"/>
    </row>
    <row r="163" spans="1:10" x14ac:dyDescent="0.25">
      <c r="B163" s="54" t="s">
        <v>128</v>
      </c>
      <c r="G163" s="38">
        <v>0</v>
      </c>
      <c r="H163" s="26"/>
    </row>
    <row r="164" spans="1:10" x14ac:dyDescent="0.25">
      <c r="C164" s="10"/>
      <c r="E164" s="16"/>
      <c r="G164" s="40">
        <f>SUM(G112:G163)</f>
        <v>59373944.75</v>
      </c>
      <c r="H164" s="28"/>
      <c r="I164" s="38"/>
      <c r="J164" s="46">
        <f>G164-I164</f>
        <v>59373944.75</v>
      </c>
    </row>
    <row r="167" spans="1:10" x14ac:dyDescent="0.25">
      <c r="I167" s="38"/>
      <c r="J167" s="46"/>
    </row>
    <row r="168" spans="1:10" x14ac:dyDescent="0.25">
      <c r="H168" s="24"/>
    </row>
    <row r="169" spans="1:10" x14ac:dyDescent="0.25">
      <c r="H169" s="26"/>
    </row>
    <row r="170" spans="1:10" x14ac:dyDescent="0.25">
      <c r="H170" s="28"/>
    </row>
    <row r="171" spans="1:10" x14ac:dyDescent="0.25">
      <c r="H171" s="24"/>
    </row>
    <row r="175" spans="1:10" x14ac:dyDescent="0.25">
      <c r="A175" s="78"/>
      <c r="B175" s="48" t="s">
        <v>88</v>
      </c>
      <c r="C175" s="16"/>
      <c r="G175" s="5" t="s">
        <v>129</v>
      </c>
      <c r="H175" s="24"/>
    </row>
    <row r="176" spans="1:10" x14ac:dyDescent="0.25">
      <c r="B176" s="54" t="s">
        <v>130</v>
      </c>
      <c r="G176" s="38">
        <f>826112.08</f>
        <v>826112.08</v>
      </c>
      <c r="H176" s="24"/>
    </row>
    <row r="177" spans="2:8" x14ac:dyDescent="0.25">
      <c r="B177" s="54" t="s">
        <v>131</v>
      </c>
      <c r="G177" s="38">
        <f>230294.7</f>
        <v>230294.7</v>
      </c>
      <c r="H177" s="24"/>
    </row>
    <row r="178" spans="2:8" x14ac:dyDescent="0.25">
      <c r="B178" s="54" t="s">
        <v>207</v>
      </c>
      <c r="G178" s="38">
        <v>0</v>
      </c>
      <c r="H178" s="24"/>
    </row>
    <row r="179" spans="2:8" x14ac:dyDescent="0.25">
      <c r="B179" s="54" t="s">
        <v>203</v>
      </c>
      <c r="G179" s="38">
        <f>167383</f>
        <v>167383</v>
      </c>
    </row>
    <row r="180" spans="2:8" x14ac:dyDescent="0.25">
      <c r="B180" s="54" t="s">
        <v>132</v>
      </c>
      <c r="G180" s="38">
        <v>0</v>
      </c>
    </row>
    <row r="181" spans="2:8" x14ac:dyDescent="0.25">
      <c r="B181" s="54" t="s">
        <v>200</v>
      </c>
      <c r="G181" s="38">
        <f>128738</f>
        <v>128738</v>
      </c>
      <c r="H181" s="24"/>
    </row>
    <row r="182" spans="2:8" x14ac:dyDescent="0.25">
      <c r="B182" s="54" t="s">
        <v>161</v>
      </c>
      <c r="G182" s="38">
        <v>0</v>
      </c>
      <c r="H182" s="24"/>
    </row>
    <row r="183" spans="2:8" x14ac:dyDescent="0.25">
      <c r="B183" s="54" t="s">
        <v>160</v>
      </c>
      <c r="G183" s="38">
        <f>3750</f>
        <v>3750</v>
      </c>
      <c r="H183" s="26"/>
    </row>
    <row r="184" spans="2:8" x14ac:dyDescent="0.25">
      <c r="B184" s="54" t="s">
        <v>204</v>
      </c>
      <c r="G184" s="38">
        <v>0</v>
      </c>
      <c r="H184" s="26"/>
    </row>
    <row r="185" spans="2:8" x14ac:dyDescent="0.25">
      <c r="B185" s="54" t="s">
        <v>275</v>
      </c>
      <c r="G185" s="38">
        <f>64330</f>
        <v>64330</v>
      </c>
      <c r="H185" s="28"/>
    </row>
    <row r="186" spans="2:8" x14ac:dyDescent="0.25">
      <c r="B186" s="54" t="s">
        <v>133</v>
      </c>
      <c r="G186" s="38">
        <f>312597.51</f>
        <v>312597.51</v>
      </c>
      <c r="H186" s="28"/>
    </row>
    <row r="187" spans="2:8" x14ac:dyDescent="0.25">
      <c r="B187" s="54" t="s">
        <v>134</v>
      </c>
      <c r="G187" s="38">
        <v>0</v>
      </c>
      <c r="H187" s="24"/>
    </row>
    <row r="188" spans="2:8" x14ac:dyDescent="0.25">
      <c r="B188" s="54" t="s">
        <v>211</v>
      </c>
      <c r="G188" s="38">
        <v>0</v>
      </c>
      <c r="H188" s="24"/>
    </row>
    <row r="189" spans="2:8" x14ac:dyDescent="0.25">
      <c r="B189" s="54" t="s">
        <v>183</v>
      </c>
      <c r="G189" s="38">
        <f>166203</f>
        <v>166203</v>
      </c>
      <c r="H189" s="24"/>
    </row>
    <row r="190" spans="2:8" x14ac:dyDescent="0.25">
      <c r="B190" s="54" t="s">
        <v>205</v>
      </c>
      <c r="G190" s="38">
        <v>0</v>
      </c>
      <c r="H190" s="24"/>
    </row>
    <row r="191" spans="2:8" x14ac:dyDescent="0.25">
      <c r="B191" s="54" t="s">
        <v>258</v>
      </c>
      <c r="G191" s="38">
        <v>0</v>
      </c>
      <c r="H191" s="24"/>
    </row>
    <row r="192" spans="2:8" x14ac:dyDescent="0.25">
      <c r="B192" s="54" t="s">
        <v>184</v>
      </c>
      <c r="G192" s="38">
        <v>0</v>
      </c>
      <c r="H192" s="24"/>
    </row>
    <row r="193" spans="2:11" x14ac:dyDescent="0.25">
      <c r="B193" s="54" t="s">
        <v>276</v>
      </c>
      <c r="G193" s="38">
        <v>0</v>
      </c>
      <c r="H193" s="24"/>
    </row>
    <row r="194" spans="2:11" x14ac:dyDescent="0.25">
      <c r="B194" s="54" t="s">
        <v>277</v>
      </c>
      <c r="G194" s="38">
        <f>52840.4</f>
        <v>52840.4</v>
      </c>
      <c r="H194" s="24"/>
    </row>
    <row r="195" spans="2:11" x14ac:dyDescent="0.25">
      <c r="B195" s="54" t="s">
        <v>173</v>
      </c>
      <c r="G195" s="38">
        <v>0</v>
      </c>
      <c r="H195" s="24"/>
    </row>
    <row r="196" spans="2:11" x14ac:dyDescent="0.25">
      <c r="B196" s="54" t="s">
        <v>174</v>
      </c>
      <c r="G196" s="38">
        <v>0</v>
      </c>
      <c r="H196" s="24"/>
    </row>
    <row r="197" spans="2:11" x14ac:dyDescent="0.25">
      <c r="B197" s="54" t="s">
        <v>135</v>
      </c>
      <c r="G197" s="38">
        <f>35596300</f>
        <v>35596300</v>
      </c>
      <c r="H197" s="24"/>
    </row>
    <row r="198" spans="2:11" x14ac:dyDescent="0.25">
      <c r="B198" s="54" t="s">
        <v>218</v>
      </c>
      <c r="G198" s="38">
        <v>0</v>
      </c>
      <c r="H198" s="24"/>
      <c r="K198" s="63"/>
    </row>
    <row r="199" spans="2:11" x14ac:dyDescent="0.25">
      <c r="B199" s="54" t="s">
        <v>136</v>
      </c>
      <c r="G199" s="38">
        <v>0</v>
      </c>
      <c r="H199" s="24"/>
    </row>
    <row r="200" spans="2:11" x14ac:dyDescent="0.25">
      <c r="B200" s="54" t="s">
        <v>137</v>
      </c>
      <c r="G200" s="38">
        <v>62261.2</v>
      </c>
      <c r="H200" s="24"/>
    </row>
    <row r="201" spans="2:11" x14ac:dyDescent="0.25">
      <c r="B201" s="54" t="s">
        <v>162</v>
      </c>
      <c r="G201" s="38">
        <f>819935.98</f>
        <v>819935.98</v>
      </c>
      <c r="H201" s="24"/>
    </row>
    <row r="202" spans="2:11" x14ac:dyDescent="0.25">
      <c r="B202" s="54" t="s">
        <v>138</v>
      </c>
      <c r="G202" s="38">
        <f>37170</f>
        <v>37170</v>
      </c>
      <c r="H202" s="24"/>
    </row>
    <row r="203" spans="2:11" x14ac:dyDescent="0.25">
      <c r="B203" s="54" t="s">
        <v>278</v>
      </c>
      <c r="G203" s="38">
        <v>0</v>
      </c>
      <c r="H203" s="24"/>
    </row>
    <row r="204" spans="2:11" x14ac:dyDescent="0.25">
      <c r="B204" s="54" t="s">
        <v>279</v>
      </c>
      <c r="G204" s="38">
        <f>2010</f>
        <v>2010</v>
      </c>
      <c r="H204" s="24"/>
    </row>
    <row r="205" spans="2:11" x14ac:dyDescent="0.25">
      <c r="B205" s="54" t="s">
        <v>139</v>
      </c>
      <c r="G205" s="38">
        <v>0</v>
      </c>
      <c r="H205" s="24"/>
    </row>
    <row r="206" spans="2:11" x14ac:dyDescent="0.25">
      <c r="B206" s="54" t="s">
        <v>280</v>
      </c>
      <c r="G206" s="38">
        <f>18880</f>
        <v>18880</v>
      </c>
      <c r="H206" s="24"/>
    </row>
    <row r="207" spans="2:11" x14ac:dyDescent="0.25">
      <c r="B207" s="54" t="s">
        <v>140</v>
      </c>
      <c r="G207" s="38">
        <f>489212.19</f>
        <v>489212.19</v>
      </c>
      <c r="H207" s="24"/>
    </row>
    <row r="208" spans="2:11" x14ac:dyDescent="0.25">
      <c r="B208" s="54" t="s">
        <v>260</v>
      </c>
      <c r="G208" s="38">
        <f>39589.94</f>
        <v>39589.94</v>
      </c>
      <c r="H208" s="24"/>
    </row>
    <row r="209" spans="1:12" x14ac:dyDescent="0.25">
      <c r="B209" s="54" t="s">
        <v>206</v>
      </c>
      <c r="G209" s="38">
        <f>28026.4</f>
        <v>28026.400000000001</v>
      </c>
      <c r="H209" s="26"/>
    </row>
    <row r="210" spans="1:12" x14ac:dyDescent="0.25">
      <c r="B210" s="54" t="s">
        <v>158</v>
      </c>
      <c r="G210" s="38">
        <v>0</v>
      </c>
    </row>
    <row r="211" spans="1:12" x14ac:dyDescent="0.25">
      <c r="B211" s="54" t="s">
        <v>141</v>
      </c>
      <c r="G211" s="38">
        <f>579403.6</f>
        <v>579403.6</v>
      </c>
    </row>
    <row r="212" spans="1:12" x14ac:dyDescent="0.25">
      <c r="B212" s="54" t="s">
        <v>169</v>
      </c>
      <c r="G212" s="38">
        <f>91236.4</f>
        <v>91236.4</v>
      </c>
    </row>
    <row r="213" spans="1:12" x14ac:dyDescent="0.25">
      <c r="B213" s="54" t="s">
        <v>259</v>
      </c>
      <c r="G213" s="38">
        <f>75402</f>
        <v>75402</v>
      </c>
    </row>
    <row r="214" spans="1:12" x14ac:dyDescent="0.25">
      <c r="B214" s="54" t="s">
        <v>159</v>
      </c>
      <c r="G214" s="38">
        <f>127794</f>
        <v>127794</v>
      </c>
    </row>
    <row r="215" spans="1:12" x14ac:dyDescent="0.25">
      <c r="B215" s="54" t="s">
        <v>281</v>
      </c>
      <c r="G215" s="38">
        <f>1800000</f>
        <v>1800000</v>
      </c>
    </row>
    <row r="216" spans="1:12" x14ac:dyDescent="0.25">
      <c r="B216" s="54" t="s">
        <v>270</v>
      </c>
      <c r="G216" s="38">
        <f>257004</f>
        <v>257004</v>
      </c>
    </row>
    <row r="217" spans="1:12" x14ac:dyDescent="0.25">
      <c r="B217" s="54" t="s">
        <v>271</v>
      </c>
      <c r="G217" s="38">
        <f>1635651.1</f>
        <v>1635651.1</v>
      </c>
    </row>
    <row r="218" spans="1:12" x14ac:dyDescent="0.25">
      <c r="B218" s="24"/>
      <c r="G218" s="40">
        <f>SUM(G176:G217)</f>
        <v>43612125.499999993</v>
      </c>
      <c r="I218" s="38">
        <v>43612125.5</v>
      </c>
      <c r="J218" s="46">
        <f>G218-I218</f>
        <v>0</v>
      </c>
    </row>
    <row r="220" spans="1:12" x14ac:dyDescent="0.25">
      <c r="L220" s="76"/>
    </row>
    <row r="221" spans="1:12" x14ac:dyDescent="0.25">
      <c r="A221" s="78"/>
      <c r="B221" s="48" t="s">
        <v>89</v>
      </c>
      <c r="G221" s="5" t="s">
        <v>142</v>
      </c>
      <c r="J221" s="46"/>
    </row>
    <row r="222" spans="1:12" x14ac:dyDescent="0.25">
      <c r="B222" s="54" t="s">
        <v>143</v>
      </c>
      <c r="G222" s="38">
        <f>3499347353.77</f>
        <v>3499347353.77</v>
      </c>
      <c r="I222" s="38"/>
      <c r="J222" s="46"/>
    </row>
    <row r="223" spans="1:12" x14ac:dyDescent="0.25">
      <c r="B223" s="54" t="s">
        <v>144</v>
      </c>
      <c r="G223" s="38">
        <f>5996993.61</f>
        <v>5996993.6100000003</v>
      </c>
      <c r="I223" s="38"/>
    </row>
    <row r="224" spans="1:12" x14ac:dyDescent="0.25">
      <c r="B224" s="54" t="s">
        <v>193</v>
      </c>
      <c r="G224" s="38">
        <v>0</v>
      </c>
    </row>
    <row r="225" spans="1:10" x14ac:dyDescent="0.25">
      <c r="B225" s="54" t="s">
        <v>261</v>
      </c>
      <c r="G225" s="38">
        <f>737653.59</f>
        <v>737653.59</v>
      </c>
    </row>
    <row r="226" spans="1:10" x14ac:dyDescent="0.25">
      <c r="B226" s="54" t="s">
        <v>146</v>
      </c>
      <c r="G226" s="38"/>
    </row>
    <row r="227" spans="1:10" x14ac:dyDescent="0.25">
      <c r="B227" s="54" t="s">
        <v>213</v>
      </c>
      <c r="G227" s="38">
        <v>0</v>
      </c>
    </row>
    <row r="228" spans="1:10" x14ac:dyDescent="0.25">
      <c r="B228" s="54" t="s">
        <v>201</v>
      </c>
      <c r="G228" s="38">
        <v>0</v>
      </c>
    </row>
    <row r="229" spans="1:10" x14ac:dyDescent="0.25">
      <c r="G229" s="40">
        <f>SUM(G222:G228)</f>
        <v>3506082000.9700003</v>
      </c>
      <c r="I229" s="38">
        <f>3506082000.97</f>
        <v>3506082000.9699998</v>
      </c>
      <c r="J229" s="46">
        <f>G229-I229</f>
        <v>0</v>
      </c>
    </row>
    <row r="230" spans="1:10" x14ac:dyDescent="0.25">
      <c r="I230" s="38"/>
      <c r="J230" s="46"/>
    </row>
    <row r="235" spans="1:10" x14ac:dyDescent="0.25">
      <c r="A235" s="78"/>
      <c r="B235" s="48" t="s">
        <v>147</v>
      </c>
      <c r="G235" s="5" t="s">
        <v>151</v>
      </c>
      <c r="J235" s="46"/>
    </row>
    <row r="236" spans="1:10" x14ac:dyDescent="0.25">
      <c r="B236" s="54" t="s">
        <v>192</v>
      </c>
      <c r="G236" s="38">
        <f>260711.56</f>
        <v>260711.56</v>
      </c>
    </row>
    <row r="237" spans="1:10" x14ac:dyDescent="0.25">
      <c r="B237" s="54" t="s">
        <v>152</v>
      </c>
      <c r="G237" s="38">
        <f>1415528</f>
        <v>1415528</v>
      </c>
    </row>
    <row r="238" spans="1:10" x14ac:dyDescent="0.25">
      <c r="B238" s="54" t="s">
        <v>185</v>
      </c>
      <c r="G238" s="38">
        <v>0</v>
      </c>
    </row>
    <row r="239" spans="1:10" x14ac:dyDescent="0.25">
      <c r="B239" s="54" t="s">
        <v>208</v>
      </c>
      <c r="G239" s="38">
        <v>0</v>
      </c>
    </row>
    <row r="240" spans="1:10" x14ac:dyDescent="0.25">
      <c r="B240" s="64" t="s">
        <v>212</v>
      </c>
      <c r="C240" s="65"/>
      <c r="D240" s="65"/>
      <c r="G240" s="38">
        <f>42939.68</f>
        <v>42939.68</v>
      </c>
    </row>
    <row r="241" spans="2:7" x14ac:dyDescent="0.25">
      <c r="B241" s="64" t="s">
        <v>214</v>
      </c>
      <c r="C241" s="65"/>
      <c r="D241" s="65"/>
      <c r="G241" s="38">
        <v>0</v>
      </c>
    </row>
    <row r="242" spans="2:7" x14ac:dyDescent="0.25">
      <c r="B242" s="64" t="s">
        <v>282</v>
      </c>
      <c r="C242" s="65"/>
      <c r="D242" s="65"/>
      <c r="G242" s="38">
        <f>178398.84</f>
        <v>178398.84</v>
      </c>
    </row>
    <row r="243" spans="2:7" x14ac:dyDescent="0.25">
      <c r="B243" s="64" t="s">
        <v>57</v>
      </c>
      <c r="C243" s="65"/>
      <c r="D243" s="65"/>
      <c r="G243" s="38">
        <f>59737.5</f>
        <v>59737.5</v>
      </c>
    </row>
    <row r="244" spans="2:7" x14ac:dyDescent="0.25">
      <c r="B244" s="54" t="s">
        <v>186</v>
      </c>
      <c r="G244" s="38">
        <v>0</v>
      </c>
    </row>
    <row r="245" spans="2:7" x14ac:dyDescent="0.25">
      <c r="B245" s="54" t="s">
        <v>283</v>
      </c>
      <c r="G245" s="38">
        <v>39742.400000000001</v>
      </c>
    </row>
    <row r="246" spans="2:7" x14ac:dyDescent="0.25">
      <c r="B246" s="54" t="s">
        <v>215</v>
      </c>
      <c r="G246" s="38">
        <v>0</v>
      </c>
    </row>
    <row r="247" spans="2:7" x14ac:dyDescent="0.25">
      <c r="B247" s="54" t="s">
        <v>272</v>
      </c>
      <c r="G247" s="38">
        <v>0</v>
      </c>
    </row>
    <row r="248" spans="2:7" x14ac:dyDescent="0.25">
      <c r="B248" s="54" t="s">
        <v>216</v>
      </c>
      <c r="G248" s="38">
        <v>0</v>
      </c>
    </row>
    <row r="249" spans="2:7" x14ac:dyDescent="0.25">
      <c r="B249" s="54" t="s">
        <v>187</v>
      </c>
      <c r="G249" s="38">
        <v>9829.4</v>
      </c>
    </row>
    <row r="250" spans="2:7" x14ac:dyDescent="0.25">
      <c r="B250" s="54" t="s">
        <v>188</v>
      </c>
      <c r="G250" s="38">
        <v>0</v>
      </c>
    </row>
    <row r="251" spans="2:7" x14ac:dyDescent="0.25">
      <c r="B251" s="54" t="s">
        <v>189</v>
      </c>
      <c r="G251" s="38">
        <v>0</v>
      </c>
    </row>
    <row r="252" spans="2:7" x14ac:dyDescent="0.25">
      <c r="B252" s="54" t="s">
        <v>284</v>
      </c>
      <c r="G252" s="38">
        <v>0</v>
      </c>
    </row>
    <row r="253" spans="2:7" x14ac:dyDescent="0.25">
      <c r="B253" s="54" t="s">
        <v>217</v>
      </c>
      <c r="G253" s="38">
        <v>0</v>
      </c>
    </row>
    <row r="254" spans="2:7" x14ac:dyDescent="0.25">
      <c r="B254" s="54" t="s">
        <v>190</v>
      </c>
      <c r="G254" s="38">
        <v>0</v>
      </c>
    </row>
    <row r="255" spans="2:7" x14ac:dyDescent="0.25">
      <c r="B255" s="54" t="s">
        <v>191</v>
      </c>
      <c r="G255" s="38">
        <f>55578</f>
        <v>55578</v>
      </c>
    </row>
    <row r="256" spans="2:7" x14ac:dyDescent="0.25">
      <c r="B256" s="54" t="s">
        <v>209</v>
      </c>
      <c r="G256" s="38">
        <v>0</v>
      </c>
    </row>
    <row r="257" spans="1:10" x14ac:dyDescent="0.25">
      <c r="B257" s="54" t="s">
        <v>153</v>
      </c>
      <c r="G257" s="38">
        <v>0</v>
      </c>
    </row>
    <row r="258" spans="1:10" x14ac:dyDescent="0.25">
      <c r="B258" s="54" t="s">
        <v>198</v>
      </c>
      <c r="G258" s="38">
        <v>0</v>
      </c>
    </row>
    <row r="259" spans="1:10" x14ac:dyDescent="0.25">
      <c r="B259" s="54" t="s">
        <v>210</v>
      </c>
      <c r="G259" s="38">
        <v>0</v>
      </c>
    </row>
    <row r="260" spans="1:10" x14ac:dyDescent="0.25">
      <c r="G260" s="40">
        <f>SUM(G236:G259)</f>
        <v>2062465.38</v>
      </c>
      <c r="I260" s="38">
        <f>2062465.38</f>
        <v>2062465.38</v>
      </c>
      <c r="J260" s="46">
        <f>G260-I260</f>
        <v>0</v>
      </c>
    </row>
    <row r="263" spans="1:10" x14ac:dyDescent="0.25">
      <c r="A263" s="79"/>
      <c r="B263" s="48" t="s">
        <v>149</v>
      </c>
      <c r="G263" s="5" t="s">
        <v>154</v>
      </c>
    </row>
    <row r="264" spans="1:10" x14ac:dyDescent="0.25">
      <c r="A264" s="49"/>
      <c r="B264" s="54" t="s">
        <v>155</v>
      </c>
      <c r="G264" s="38">
        <v>0</v>
      </c>
    </row>
    <row r="265" spans="1:10" x14ac:dyDescent="0.25">
      <c r="G265" s="40">
        <f>SUM(G264:G264)</f>
        <v>0</v>
      </c>
      <c r="I265" s="38">
        <v>0</v>
      </c>
      <c r="J265" s="46">
        <f>G265-I265</f>
        <v>0</v>
      </c>
    </row>
    <row r="266" spans="1:10" x14ac:dyDescent="0.25">
      <c r="I266" s="38"/>
      <c r="J266" s="46"/>
    </row>
    <row r="267" spans="1:10" x14ac:dyDescent="0.25">
      <c r="I267" s="38"/>
      <c r="J267" s="46"/>
    </row>
    <row r="268" spans="1:10" x14ac:dyDescent="0.25">
      <c r="I268" s="38"/>
      <c r="J268" s="46"/>
    </row>
    <row r="269" spans="1:10" x14ac:dyDescent="0.25">
      <c r="I269" s="38"/>
      <c r="J269" s="46"/>
    </row>
    <row r="270" spans="1:10" x14ac:dyDescent="0.25">
      <c r="I270" s="38"/>
      <c r="J270" s="46"/>
    </row>
    <row r="271" spans="1:10" x14ac:dyDescent="0.25">
      <c r="I271" s="38"/>
      <c r="J271" s="46"/>
    </row>
    <row r="272" spans="1:10" x14ac:dyDescent="0.25">
      <c r="I272" s="38"/>
      <c r="J272" s="46"/>
    </row>
    <row r="273" spans="1:10" x14ac:dyDescent="0.25">
      <c r="G273" s="53"/>
      <c r="I273" s="38"/>
      <c r="J273" s="46"/>
    </row>
    <row r="275" spans="1:10" x14ac:dyDescent="0.25">
      <c r="A275" s="33" t="s">
        <v>285</v>
      </c>
      <c r="B275" s="33"/>
      <c r="F275" s="2"/>
      <c r="G275" s="33" t="s">
        <v>241</v>
      </c>
    </row>
    <row r="276" spans="1:10" x14ac:dyDescent="0.25">
      <c r="A276" s="30" t="s">
        <v>286</v>
      </c>
      <c r="B276" s="30"/>
      <c r="G276" s="72" t="s">
        <v>25</v>
      </c>
    </row>
    <row r="280" spans="1:10" x14ac:dyDescent="0.25">
      <c r="I280" s="23"/>
    </row>
    <row r="281" spans="1:10" x14ac:dyDescent="0.25">
      <c r="A281" s="83" t="s">
        <v>164</v>
      </c>
      <c r="B281" s="83"/>
      <c r="C281" s="83"/>
      <c r="D281" s="83"/>
      <c r="E281" s="83"/>
      <c r="F281" s="83"/>
      <c r="G281" s="83"/>
      <c r="H281" s="83"/>
      <c r="I281" s="23"/>
    </row>
    <row r="282" spans="1:10" x14ac:dyDescent="0.25">
      <c r="A282" s="82" t="s">
        <v>194</v>
      </c>
      <c r="B282" s="82"/>
      <c r="C282" s="82"/>
      <c r="D282" s="82"/>
      <c r="E282" s="82"/>
      <c r="F282" s="82"/>
      <c r="G282" s="82"/>
      <c r="H282" s="82"/>
    </row>
    <row r="283" spans="1:10" x14ac:dyDescent="0.25">
      <c r="D283" s="20"/>
      <c r="F283" s="18"/>
      <c r="I283" s="2"/>
    </row>
    <row r="284" spans="1:10" x14ac:dyDescent="0.25">
      <c r="B284" s="21"/>
      <c r="C284" s="21"/>
      <c r="D284" s="20"/>
      <c r="F284" s="23"/>
      <c r="H284" s="2"/>
      <c r="I284" s="2"/>
    </row>
    <row r="285" spans="1:10" x14ac:dyDescent="0.25">
      <c r="B285" s="73"/>
      <c r="C285" s="73"/>
      <c r="D285" s="73"/>
      <c r="E285" s="73"/>
      <c r="F285" s="73"/>
      <c r="G285" s="73"/>
      <c r="H285" s="73"/>
      <c r="I285" s="73"/>
    </row>
    <row r="286" spans="1:10" x14ac:dyDescent="0.25">
      <c r="B286" s="74"/>
      <c r="C286" s="74"/>
      <c r="D286" s="74"/>
      <c r="E286" s="74"/>
      <c r="F286" s="74"/>
      <c r="G286" s="74"/>
      <c r="H286" s="74"/>
      <c r="I286" s="74"/>
    </row>
  </sheetData>
  <mergeCells count="6">
    <mergeCell ref="A281:H281"/>
    <mergeCell ref="A282:H282"/>
    <mergeCell ref="A11:H11"/>
    <mergeCell ref="A12:H12"/>
    <mergeCell ref="A13:H13"/>
    <mergeCell ref="A15:H15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J108"/>
  <sheetViews>
    <sheetView workbookViewId="0">
      <selection activeCell="A13" sqref="A13:F13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42.5703125" style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4" t="s">
        <v>243</v>
      </c>
      <c r="B11" s="84"/>
      <c r="C11" s="84"/>
      <c r="D11" s="84"/>
      <c r="E11" s="84"/>
      <c r="F11" s="84"/>
      <c r="G11" s="13"/>
      <c r="H11" s="13"/>
      <c r="I11" s="13"/>
    </row>
    <row r="12" spans="1:9" x14ac:dyDescent="0.25">
      <c r="A12" s="85" t="s">
        <v>273</v>
      </c>
      <c r="B12" s="85"/>
      <c r="C12" s="85"/>
      <c r="D12" s="85"/>
      <c r="E12" s="85"/>
      <c r="F12" s="85"/>
      <c r="G12" s="71"/>
      <c r="H12" s="71"/>
      <c r="I12" s="71"/>
    </row>
    <row r="13" spans="1:9" x14ac:dyDescent="0.25">
      <c r="A13" s="85" t="s">
        <v>1</v>
      </c>
      <c r="B13" s="85"/>
      <c r="C13" s="85"/>
      <c r="D13" s="85"/>
      <c r="E13" s="85"/>
      <c r="F13" s="85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2"/>
      <c r="D18" s="2"/>
      <c r="E18" s="2"/>
      <c r="F18" s="2"/>
      <c r="G18" s="3"/>
      <c r="H18" s="2"/>
    </row>
    <row r="19" spans="2:8" x14ac:dyDescent="0.25">
      <c r="B19" s="2"/>
      <c r="C19" s="66" t="s">
        <v>85</v>
      </c>
      <c r="D19" s="66"/>
      <c r="E19" s="2"/>
      <c r="F19" s="5" t="s">
        <v>3</v>
      </c>
      <c r="G19" s="2"/>
      <c r="H19" s="2"/>
    </row>
    <row r="20" spans="2:8" x14ac:dyDescent="0.25">
      <c r="B20" s="2"/>
      <c r="C20" s="2" t="s">
        <v>244</v>
      </c>
      <c r="D20" s="66"/>
      <c r="E20" s="2"/>
      <c r="F20" s="75">
        <f>'Nota a los Estado '!G68</f>
        <v>30085107.350000009</v>
      </c>
      <c r="G20" s="2"/>
      <c r="H20" s="2"/>
    </row>
    <row r="21" spans="2:8" x14ac:dyDescent="0.25">
      <c r="B21" s="2"/>
      <c r="C21" s="2" t="s">
        <v>245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246</v>
      </c>
      <c r="D22" s="2"/>
      <c r="E22" s="2"/>
      <c r="F22" s="67">
        <v>0</v>
      </c>
      <c r="G22" s="2"/>
      <c r="H22" s="2"/>
    </row>
    <row r="23" spans="2:8" x14ac:dyDescent="0.25">
      <c r="B23" s="2"/>
      <c r="C23" s="2" t="s">
        <v>247</v>
      </c>
      <c r="D23" s="2"/>
      <c r="E23" s="2"/>
      <c r="F23" s="67">
        <f>'Nota a los Estado '!G71</f>
        <v>970789676.90999997</v>
      </c>
      <c r="G23" s="2"/>
      <c r="H23" s="2"/>
    </row>
    <row r="24" spans="2:8" x14ac:dyDescent="0.25">
      <c r="B24" s="2"/>
      <c r="C24" s="2" t="s">
        <v>248</v>
      </c>
      <c r="D24" s="2"/>
      <c r="E24" s="2"/>
      <c r="F24" s="67">
        <v>0</v>
      </c>
      <c r="G24" s="2"/>
      <c r="H24" s="2"/>
    </row>
    <row r="25" spans="2:8" x14ac:dyDescent="0.25">
      <c r="B25" s="2"/>
      <c r="C25" s="2" t="s">
        <v>249</v>
      </c>
      <c r="D25" s="2"/>
      <c r="E25" s="2"/>
      <c r="F25" s="67">
        <f>'Nota a los Estado '!G70</f>
        <v>41222503.950000003</v>
      </c>
      <c r="G25" s="2"/>
      <c r="H25" s="2"/>
    </row>
    <row r="26" spans="2:8" x14ac:dyDescent="0.25">
      <c r="B26" s="2"/>
      <c r="C26" s="2" t="s">
        <v>250</v>
      </c>
      <c r="D26" s="2"/>
      <c r="E26" s="2"/>
      <c r="F26" s="67">
        <f>'Nota a los Estado '!G69</f>
        <v>20310400.649999917</v>
      </c>
      <c r="G26" s="2"/>
      <c r="H26" s="2"/>
    </row>
    <row r="27" spans="2:8" ht="15.75" thickBot="1" x14ac:dyDescent="0.3">
      <c r="B27" s="2"/>
      <c r="C27" s="21" t="s">
        <v>251</v>
      </c>
      <c r="D27" s="2"/>
      <c r="E27" s="2"/>
      <c r="F27" s="70">
        <f>SUM(F20:F26)</f>
        <v>1062407688.8599999</v>
      </c>
      <c r="G27" s="2"/>
      <c r="H27" s="2"/>
    </row>
    <row r="28" spans="2:8" ht="15.75" thickTop="1" x14ac:dyDescent="0.25">
      <c r="B28" s="21"/>
      <c r="C28" s="21"/>
      <c r="D28" s="21"/>
      <c r="F28" s="33"/>
      <c r="G28" s="23"/>
    </row>
    <row r="29" spans="2:8" x14ac:dyDescent="0.25">
      <c r="F29" s="32"/>
      <c r="G29" s="23"/>
    </row>
    <row r="30" spans="2:8" x14ac:dyDescent="0.25">
      <c r="F30" s="32"/>
      <c r="G30" s="23"/>
    </row>
    <row r="31" spans="2:8" x14ac:dyDescent="0.25">
      <c r="F31" s="32"/>
      <c r="G31" s="23"/>
    </row>
    <row r="32" spans="2:8" x14ac:dyDescent="0.25">
      <c r="F32" s="32"/>
      <c r="G32" s="23"/>
    </row>
    <row r="34" spans="2:10" x14ac:dyDescent="0.25">
      <c r="C34" s="21"/>
      <c r="D34" s="21"/>
      <c r="E34" s="21"/>
      <c r="G34" s="34"/>
      <c r="H34" s="23"/>
      <c r="J34" s="22"/>
    </row>
    <row r="35" spans="2:10" x14ac:dyDescent="0.25">
      <c r="B35" s="25"/>
      <c r="F35" s="20"/>
      <c r="G35" s="23"/>
    </row>
    <row r="36" spans="2:10" x14ac:dyDescent="0.25">
      <c r="C36" s="33" t="s">
        <v>285</v>
      </c>
      <c r="D36" s="33"/>
      <c r="F36" s="33" t="s">
        <v>241</v>
      </c>
      <c r="H36" s="23"/>
    </row>
    <row r="37" spans="2:10" x14ac:dyDescent="0.25">
      <c r="C37" s="30" t="s">
        <v>286</v>
      </c>
      <c r="D37" s="30"/>
      <c r="F37" s="72" t="s">
        <v>25</v>
      </c>
    </row>
    <row r="38" spans="2:10" x14ac:dyDescent="0.25">
      <c r="B38" s="25"/>
    </row>
    <row r="39" spans="2:10" x14ac:dyDescent="0.25">
      <c r="I39" s="26"/>
    </row>
    <row r="40" spans="2:10" x14ac:dyDescent="0.25">
      <c r="I40" s="26"/>
    </row>
    <row r="41" spans="2:10" x14ac:dyDescent="0.25">
      <c r="I41" s="26"/>
    </row>
    <row r="42" spans="2:10" x14ac:dyDescent="0.25">
      <c r="C42" s="27"/>
      <c r="D42" s="27"/>
      <c r="I42" s="28"/>
    </row>
    <row r="44" spans="2:10" x14ac:dyDescent="0.25">
      <c r="C44" s="83" t="s">
        <v>164</v>
      </c>
      <c r="D44" s="83"/>
      <c r="E44" s="83"/>
      <c r="F44" s="83"/>
      <c r="G44" s="73"/>
      <c r="I44" s="28"/>
    </row>
    <row r="45" spans="2:10" x14ac:dyDescent="0.25">
      <c r="C45" s="82" t="s">
        <v>194</v>
      </c>
      <c r="D45" s="82"/>
      <c r="E45" s="82"/>
      <c r="F45" s="82"/>
      <c r="G45" s="74"/>
    </row>
    <row r="46" spans="2:10" x14ac:dyDescent="0.25">
      <c r="C46" s="27"/>
      <c r="D46" s="27"/>
      <c r="I46" s="28"/>
    </row>
    <row r="47" spans="2:10" x14ac:dyDescent="0.25">
      <c r="B47" s="25"/>
      <c r="C47" s="25"/>
      <c r="D47" s="25"/>
      <c r="I47" s="24"/>
    </row>
    <row r="48" spans="2:10" x14ac:dyDescent="0.25">
      <c r="B48" s="25"/>
      <c r="C48" s="25"/>
      <c r="D48" s="25"/>
      <c r="I48" s="24"/>
    </row>
    <row r="49" spans="2:9" x14ac:dyDescent="0.25">
      <c r="B49" s="25"/>
      <c r="C49" s="25"/>
      <c r="D49" s="25"/>
      <c r="I49" s="24"/>
    </row>
    <row r="50" spans="2:9" x14ac:dyDescent="0.25">
      <c r="B50" s="25"/>
      <c r="C50" s="25"/>
      <c r="D50" s="25"/>
      <c r="I50" s="24"/>
    </row>
    <row r="51" spans="2:9" x14ac:dyDescent="0.25">
      <c r="B51" s="25"/>
      <c r="C51" s="25"/>
      <c r="D51" s="25"/>
      <c r="I51" s="24"/>
    </row>
    <row r="52" spans="2:9" x14ac:dyDescent="0.25">
      <c r="B52" s="25"/>
      <c r="C52" s="25"/>
      <c r="D52" s="25"/>
      <c r="I52" s="24"/>
    </row>
    <row r="53" spans="2:9" x14ac:dyDescent="0.25">
      <c r="I53" s="26"/>
    </row>
    <row r="54" spans="2:9" x14ac:dyDescent="0.25">
      <c r="C54" s="27"/>
      <c r="D54" s="27"/>
      <c r="I54" s="28"/>
    </row>
    <row r="55" spans="2:9" x14ac:dyDescent="0.25">
      <c r="B55" s="25"/>
      <c r="C55" s="25"/>
      <c r="D55" s="25"/>
      <c r="I55" s="24"/>
    </row>
    <row r="56" spans="2:9" x14ac:dyDescent="0.25">
      <c r="I56" s="26"/>
    </row>
    <row r="57" spans="2:9" x14ac:dyDescent="0.25">
      <c r="C57" s="27"/>
      <c r="D57" s="27"/>
      <c r="I57" s="28"/>
    </row>
    <row r="58" spans="2:9" x14ac:dyDescent="0.25">
      <c r="B58" s="25"/>
      <c r="C58" s="25"/>
      <c r="D58" s="25"/>
      <c r="I58" s="24"/>
    </row>
    <row r="59" spans="2:9" x14ac:dyDescent="0.25">
      <c r="B59" s="25"/>
      <c r="C59" s="25"/>
      <c r="D59" s="25"/>
      <c r="I59" s="24"/>
    </row>
    <row r="60" spans="2:9" x14ac:dyDescent="0.25">
      <c r="B60" s="25"/>
      <c r="C60" s="25"/>
      <c r="D60" s="25"/>
      <c r="I60" s="24"/>
    </row>
    <row r="61" spans="2:9" x14ac:dyDescent="0.25">
      <c r="B61" s="25"/>
      <c r="C61" s="25"/>
      <c r="D61" s="25"/>
      <c r="I61" s="24"/>
    </row>
    <row r="62" spans="2:9" x14ac:dyDescent="0.25">
      <c r="B62" s="25"/>
      <c r="C62" s="25"/>
      <c r="D62" s="25"/>
      <c r="I62" s="24"/>
    </row>
    <row r="63" spans="2:9" x14ac:dyDescent="0.25">
      <c r="B63" s="25"/>
      <c r="C63" s="25"/>
      <c r="D63" s="25"/>
      <c r="I63" s="29"/>
    </row>
    <row r="64" spans="2:9" x14ac:dyDescent="0.25">
      <c r="I64" s="26"/>
    </row>
    <row r="65" spans="2:9" x14ac:dyDescent="0.25">
      <c r="C65" s="27"/>
      <c r="D65" s="27"/>
      <c r="I65" s="28"/>
    </row>
    <row r="66" spans="2:9" x14ac:dyDescent="0.25">
      <c r="B66" s="25"/>
      <c r="C66" s="25"/>
      <c r="D66" s="25"/>
      <c r="I66" s="29"/>
    </row>
    <row r="67" spans="2:9" x14ac:dyDescent="0.25">
      <c r="B67" s="25"/>
      <c r="C67" s="25"/>
      <c r="D67" s="25"/>
      <c r="I67" s="29"/>
    </row>
    <row r="68" spans="2:9" x14ac:dyDescent="0.25">
      <c r="B68" s="25"/>
      <c r="C68" s="25"/>
      <c r="D68" s="25"/>
      <c r="I68" s="29"/>
    </row>
    <row r="69" spans="2:9" x14ac:dyDescent="0.25">
      <c r="B69" s="25"/>
      <c r="C69" s="25"/>
      <c r="D69" s="25"/>
      <c r="I69" s="29"/>
    </row>
    <row r="70" spans="2:9" x14ac:dyDescent="0.25">
      <c r="B70" s="25"/>
      <c r="C70" s="25"/>
      <c r="D70" s="25"/>
      <c r="I70" s="29"/>
    </row>
    <row r="71" spans="2:9" x14ac:dyDescent="0.25">
      <c r="B71" s="25"/>
      <c r="C71" s="25"/>
      <c r="D71" s="25"/>
      <c r="I71" s="29"/>
    </row>
    <row r="72" spans="2:9" x14ac:dyDescent="0.25">
      <c r="B72" s="25"/>
      <c r="C72" s="25"/>
      <c r="D72" s="25"/>
      <c r="I72" s="29"/>
    </row>
    <row r="73" spans="2:9" x14ac:dyDescent="0.25">
      <c r="B73" s="25"/>
      <c r="C73" s="25"/>
      <c r="D73" s="25"/>
      <c r="I73" s="29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I77" s="26"/>
    </row>
    <row r="78" spans="2:9" x14ac:dyDescent="0.25">
      <c r="C78" s="27"/>
      <c r="D78" s="27"/>
      <c r="I78" s="28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4"/>
    </row>
    <row r="82" spans="2:9" x14ac:dyDescent="0.25">
      <c r="B82" s="25"/>
      <c r="C82" s="25"/>
      <c r="D82" s="25"/>
      <c r="I82" s="24"/>
    </row>
    <row r="83" spans="2:9" x14ac:dyDescent="0.25">
      <c r="B83" s="25"/>
      <c r="C83" s="25"/>
      <c r="D83" s="25"/>
      <c r="I83" s="24"/>
    </row>
    <row r="84" spans="2:9" x14ac:dyDescent="0.25">
      <c r="B84" s="25"/>
      <c r="C84" s="25"/>
      <c r="D84" s="25"/>
      <c r="I84" s="24"/>
    </row>
    <row r="85" spans="2:9" x14ac:dyDescent="0.25">
      <c r="B85" s="25"/>
      <c r="C85" s="25"/>
      <c r="D85" s="25"/>
      <c r="I85" s="24"/>
    </row>
    <row r="86" spans="2:9" x14ac:dyDescent="0.25">
      <c r="B86" s="25"/>
      <c r="C86" s="25"/>
      <c r="D86" s="25"/>
      <c r="I86" s="24"/>
    </row>
    <row r="87" spans="2:9" x14ac:dyDescent="0.25">
      <c r="B87" s="25"/>
      <c r="C87" s="25"/>
      <c r="D87" s="25"/>
      <c r="I87" s="24"/>
    </row>
    <row r="88" spans="2:9" x14ac:dyDescent="0.25">
      <c r="B88" s="25"/>
      <c r="C88" s="25"/>
      <c r="D88" s="25"/>
      <c r="I88" s="24"/>
    </row>
    <row r="89" spans="2:9" x14ac:dyDescent="0.25">
      <c r="B89" s="25"/>
      <c r="C89" s="25"/>
      <c r="D89" s="25"/>
      <c r="I89" s="24"/>
    </row>
    <row r="90" spans="2:9" x14ac:dyDescent="0.25">
      <c r="B90" s="25"/>
      <c r="C90" s="25"/>
      <c r="D90" s="25"/>
      <c r="I90" s="24"/>
    </row>
    <row r="91" spans="2:9" x14ac:dyDescent="0.25">
      <c r="B91" s="25"/>
      <c r="C91" s="25"/>
      <c r="D91" s="25"/>
      <c r="I91" s="24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I100" s="26"/>
    </row>
    <row r="101" spans="2:9" x14ac:dyDescent="0.25">
      <c r="C101" s="27"/>
      <c r="D101" s="27"/>
      <c r="I101" s="28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I108" s="26"/>
    </row>
  </sheetData>
  <mergeCells count="5">
    <mergeCell ref="A11:F11"/>
    <mergeCell ref="A12:F12"/>
    <mergeCell ref="A13:F13"/>
    <mergeCell ref="C44:F44"/>
    <mergeCell ref="C45:F45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Situacion</vt:lpstr>
      <vt:lpstr>Estado de Resultado</vt:lpstr>
      <vt:lpstr>Estado Flujo de Efectivo</vt:lpstr>
      <vt:lpstr>Nota a los Estado </vt:lpstr>
      <vt:lpstr>Estado Cambio del Patrimonio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2025-07-10T21:16:17Z</cp:lastPrinted>
  <dcterms:created xsi:type="dcterms:W3CDTF">2023-03-31T14:59:57Z</dcterms:created>
  <dcterms:modified xsi:type="dcterms:W3CDTF">2025-07-10T21:22:02Z</dcterms:modified>
</cp:coreProperties>
</file>