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DICIEMBRE 2024\Transparencia\Archivo Exel\"/>
    </mc:Choice>
  </mc:AlternateContent>
  <bookViews>
    <workbookView xWindow="0" yWindow="0" windowWidth="20490" windowHeight="7755"/>
  </bookViews>
  <sheets>
    <sheet name="Estado de Situacion" sheetId="1" r:id="rId1"/>
    <sheet name="Estado de Resultado" sheetId="2" r:id="rId2"/>
    <sheet name="Nota a los Estado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6" i="3" l="1"/>
  <c r="G251" i="3"/>
  <c r="G245" i="3"/>
  <c r="G243" i="3"/>
  <c r="G242" i="3"/>
  <c r="G239" i="3"/>
  <c r="G237" i="3"/>
  <c r="G234" i="3"/>
  <c r="G230" i="3"/>
  <c r="G229" i="3"/>
  <c r="G228" i="3"/>
  <c r="G227" i="3"/>
  <c r="G205" i="3"/>
  <c r="G179" i="3"/>
  <c r="G197" i="3"/>
  <c r="G196" i="3"/>
  <c r="G195" i="3"/>
  <c r="G194" i="3"/>
  <c r="G191" i="3"/>
  <c r="G190" i="3"/>
  <c r="G189" i="3"/>
  <c r="G187" i="3"/>
  <c r="G186" i="3"/>
  <c r="G184" i="3"/>
  <c r="G183" i="3"/>
  <c r="G182" i="3"/>
  <c r="G181" i="3"/>
  <c r="G180" i="3"/>
  <c r="G178" i="3"/>
  <c r="G177" i="3"/>
  <c r="G175" i="3"/>
  <c r="G172" i="3"/>
  <c r="G170" i="3"/>
  <c r="G167" i="3"/>
  <c r="G166" i="3"/>
  <c r="G165" i="3"/>
  <c r="G155" i="3"/>
  <c r="G154" i="3"/>
  <c r="G153" i="3"/>
  <c r="G152" i="3"/>
  <c r="G151" i="3"/>
  <c r="G149" i="3"/>
  <c r="G147" i="3"/>
  <c r="G146" i="3"/>
  <c r="G145" i="3"/>
  <c r="G144" i="3"/>
  <c r="G142" i="3"/>
  <c r="G140" i="3"/>
  <c r="G134" i="3"/>
  <c r="G133" i="3"/>
  <c r="G131" i="3"/>
  <c r="G130" i="3"/>
  <c r="G125" i="3"/>
  <c r="G123" i="3"/>
  <c r="G122" i="3"/>
  <c r="G121" i="3"/>
  <c r="G119" i="3"/>
  <c r="G118" i="3"/>
  <c r="G117" i="3"/>
  <c r="G116" i="3"/>
  <c r="G115" i="3"/>
  <c r="G112" i="3"/>
  <c r="G111" i="3"/>
  <c r="G110" i="3"/>
  <c r="G95" i="3"/>
  <c r="G94" i="3"/>
  <c r="G93" i="3"/>
  <c r="G92" i="3"/>
  <c r="G88" i="3"/>
  <c r="G87" i="3"/>
  <c r="G86" i="3"/>
  <c r="G85" i="3"/>
  <c r="G84" i="3"/>
  <c r="G83" i="3"/>
  <c r="G82" i="3"/>
  <c r="G74" i="3"/>
  <c r="G49" i="3"/>
  <c r="G22" i="3"/>
  <c r="G18" i="3"/>
  <c r="G247" i="3" l="1"/>
  <c r="G57" i="3"/>
  <c r="H20" i="2" l="1"/>
  <c r="G208" i="3" l="1"/>
  <c r="J208" i="3" s="1"/>
  <c r="G96" i="3"/>
  <c r="J96" i="3" s="1"/>
  <c r="J247" i="3"/>
  <c r="G69" i="3" l="1"/>
  <c r="G76" i="3"/>
  <c r="G156" i="3" l="1"/>
  <c r="J156" i="3" s="1"/>
  <c r="G252" i="3" l="1"/>
  <c r="J252" i="3" l="1"/>
  <c r="G27" i="3"/>
  <c r="G30" i="3"/>
  <c r="G29" i="3"/>
  <c r="G198" i="3" l="1"/>
  <c r="J198" i="3" s="1"/>
  <c r="G28" i="3"/>
  <c r="G58" i="3"/>
  <c r="G50" i="3"/>
  <c r="G45" i="3"/>
  <c r="G19" i="3"/>
  <c r="G23" i="3"/>
  <c r="G34" i="3" l="1"/>
  <c r="H21" i="2"/>
  <c r="H35" i="1" l="1"/>
  <c r="H22" i="1" l="1"/>
  <c r="H27" i="1" l="1"/>
  <c r="H29" i="1" s="1"/>
  <c r="H30" i="2"/>
  <c r="H32" i="2" l="1"/>
  <c r="H34" i="2" s="1"/>
  <c r="H43" i="1" s="1"/>
  <c r="H45" i="1" s="1"/>
</calcChain>
</file>

<file path=xl/sharedStrings.xml><?xml version="1.0" encoding="utf-8"?>
<sst xmlns="http://schemas.openxmlformats.org/spreadsheetml/2006/main" count="254" uniqueCount="231">
  <si>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</si>
  <si>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</si>
  <si>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</si>
  <si>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</si>
  <si>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</si>
  <si>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</si>
  <si>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</si>
  <si>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</si>
  <si>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</si>
  <si>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</si>
  <si>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</si>
  <si>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</si>
  <si>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</si>
  <si>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</si>
  <si>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</si>
  <si>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</si>
  <si>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</si>
  <si>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</si>
  <si>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</si>
  <si>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</si>
  <si>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</si>
  <si>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</si>
  <si>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</si>
  <si>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</si>
  <si>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</si>
  <si>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</si>
  <si>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</si>
  <si>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</si>
  <si>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</si>
  <si>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</si>
  <si>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</si>
  <si>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</si>
  <si>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</si>
  <si>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</si>
  <si>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</si>
  <si>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</si>
  <si>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</si>
  <si>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</si>
  <si>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</si>
  <si>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</si>
  <si>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</si>
  <si>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</si>
  <si>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</si>
  <si>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</si>
  <si>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</si>
  <si>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</si>
  <si>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</si>
  <si>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</si>
  <si>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</si>
  <si>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</si>
  <si>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</si>
  <si>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</si>
  <si>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</si>
  <si>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</si>
  <si>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</si>
  <si>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</si>
  <si>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</si>
  <si>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</si>
  <si>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</si>
  <si>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</si>
  <si>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</si>
  <si>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</si>
  <si>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</si>
  <si>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</si>
  <si>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</si>
  <si>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</si>
  <si>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</si>
  <si>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</si>
  <si>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</si>
  <si>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</si>
  <si>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</si>
  <si>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</si>
  <si>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</si>
  <si>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</si>
  <si>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</si>
  <si>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</si>
  <si>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</si>
  <si>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</si>
  <si>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</si>
  <si>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</si>
  <si>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</si>
  <si>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</si>
  <si>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</si>
  <si>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</si>
  <si>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</si>
  <si>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</si>
  <si>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</si>
  <si>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CONTRATACIÓN DE SERVICIOS</t>
  </si>
  <si>
    <t>MATERIALES Y SUMINISTROS</t>
  </si>
  <si>
    <t>TRANSFERENCIAS CORRIENTES</t>
  </si>
  <si>
    <t xml:space="preserve">INGRESOS </t>
  </si>
  <si>
    <t>INGRESOS ORDINARIOS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</si>
  <si>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</si>
  <si>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</si>
  <si>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</si>
  <si>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</si>
  <si>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</si>
  <si>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</si>
  <si>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</si>
  <si>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</si>
  <si>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</si>
  <si>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</si>
  <si>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</si>
  <si>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</si>
  <si>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</si>
  <si>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</si>
  <si>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</si>
  <si>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</si>
  <si>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</si>
  <si>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</si>
  <si>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</si>
  <si>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</si>
  <si>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</si>
  <si>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</si>
  <si>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</si>
  <si>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</si>
  <si>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</si>
  <si>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</si>
  <si>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</si>
  <si>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</si>
  <si>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</si>
  <si>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</si>
  <si>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</si>
  <si>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</si>
  <si>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</si>
  <si>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</si>
  <si>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</si>
  <si>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</si>
  <si>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</si>
  <si>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</si>
  <si>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</si>
  <si>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</si>
  <si>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</si>
  <si>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</si>
  <si>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</si>
  <si>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</si>
  <si>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</si>
  <si>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</si>
  <si>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</si>
  <si>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</si>
  <si>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</si>
  <si>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</si>
  <si>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</si>
  <si>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</si>
  <si>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</si>
  <si>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</si>
  <si>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</si>
  <si>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</si>
  <si>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BECAS Y VIAJES DE ESTUDIOS</t>
  </si>
  <si>
    <t>BIENES MUEBLES, INMUEBLES E INTANGIBLES</t>
  </si>
  <si>
    <t>Nota 14</t>
  </si>
  <si>
    <t>OBRAS EN EDIFICACIONES</t>
  </si>
  <si>
    <t>Nota 15</t>
  </si>
  <si>
    <t>NOTA 14</t>
  </si>
  <si>
    <t>EQUIPO COMPUTACIONAL</t>
  </si>
  <si>
    <t xml:space="preserve">PROGRAMAS DE INFORMATICA Y BASE DE DATOS </t>
  </si>
  <si>
    <t>NOTA 15</t>
  </si>
  <si>
    <t>OBRAS PARA EDIFICACION NO RESIDENCIAL</t>
  </si>
  <si>
    <t>ALQUILERES DE EQUIPOS DE TRANSPORTE, TRACCIÓN Y ELEVACIÓN</t>
  </si>
  <si>
    <t>OTROS ALQUILERES</t>
  </si>
  <si>
    <t>LICENCIA INFORMATICAS</t>
  </si>
  <si>
    <t>COMPENSACIÓN POR RESULTADOS</t>
  </si>
  <si>
    <t>ÚTILES DESTINADOS A ACTIVIDADES DEPORTIVAS Y RECREATIVAS</t>
  </si>
  <si>
    <t>OTROS REPUESTOS Y ACCESORIOS MENORES</t>
  </si>
  <si>
    <t>PRODUCTOS DE PAPEL Y CARTÓN</t>
  </si>
  <si>
    <t>PAPEL DE ESCRITORIO</t>
  </si>
  <si>
    <t>ACEITES Y GRASAS</t>
  </si>
  <si>
    <t>SERVICIOS DE INFORMÁTICA Y SISTEMAS COMPUTARIZADOS</t>
  </si>
  <si>
    <t>Elpidio Jose Garcia Alvarez</t>
  </si>
  <si>
    <t>RECOLECCION DE RESIDUOS SOLIDOS</t>
  </si>
  <si>
    <t>SEGURO DE BIENES MUEBLES E INFRAESTRUCTURA</t>
  </si>
  <si>
    <t>OTROS SEGUROS</t>
  </si>
  <si>
    <t>MANTENIMIENTO Y REPARACIÓN DE EQUIPOS DE PRODUCCION</t>
  </si>
  <si>
    <t>FUMIGACION, LAVANDERIA, LIMPIEZA E HIGIENE</t>
  </si>
  <si>
    <t>PRODUCTOR ELECTRICOS Y AFINES</t>
  </si>
  <si>
    <t>BENEFICIO, ACUERDO DE DESEMPEÑOS INSTITU</t>
  </si>
  <si>
    <t>INSTALACIONES ELÉCTRICAS</t>
  </si>
  <si>
    <t>ESTUDIOS DE INGENIERÍA, ARQUITECTURA, INVESTI</t>
  </si>
  <si>
    <t>SERVICIOS TELEFÓNICO DE LARGA DISTANCIA</t>
  </si>
  <si>
    <t>PRODUCTOS METÁLICOS Y SUS DERIVADOS</t>
  </si>
  <si>
    <t>MINERALES</t>
  </si>
  <si>
    <t>PRODUCTOS QUÍMICOS Y CONEXOS</t>
  </si>
  <si>
    <t>SUELDO ANUAL NO. 13</t>
  </si>
  <si>
    <t>NOMINA COMPENZACION ANUAL EX</t>
  </si>
  <si>
    <t>RADIOCOMUNICACION</t>
  </si>
  <si>
    <t>ALQUILER DE TIERRAS</t>
  </si>
  <si>
    <t>SERVICIOS DE PINTURA Y DERIVADOS CON FINES D</t>
  </si>
  <si>
    <t>MANTENIMIENTO Y REPARACION DE EQUIPO</t>
  </si>
  <si>
    <t xml:space="preserve">MANTENIMIENTO Y REPARACIÓN DE EQUIPOS </t>
  </si>
  <si>
    <t xml:space="preserve">SERVICIOS MANTENIMIENTO, REPARACION, </t>
  </si>
  <si>
    <t>ARTICULOS DE PLASTICO</t>
  </si>
  <si>
    <t>PRODUCTOS DE VIDRIO, LOZA Y PORCELANA</t>
  </si>
  <si>
    <t>ELECTRODOMESTICOS</t>
  </si>
  <si>
    <t>AUTOMOVILES Y CAMIONES</t>
  </si>
  <si>
    <t>MAQUINARIA Y EQUIPO INDUSTRIAL</t>
  </si>
  <si>
    <t>MAQUINARIA Y EQUIPO DE CONSTRUCCION</t>
  </si>
  <si>
    <t>SISTEMAS DE AIRE ACONDICIONADO, CALEFACCION</t>
  </si>
  <si>
    <t>EQUIPO DE GENERACION ELECTRICA, APARATOS</t>
  </si>
  <si>
    <t>HERRAMIENTAS Y MAQUINAS-HERRAMIENTAS</t>
  </si>
  <si>
    <t>MUEBLES DE OFICINA Y ESTANTERIA</t>
  </si>
  <si>
    <t>PREMIOS LITERARIOS, DEPORTIVOS Y CULTURALES</t>
  </si>
  <si>
    <t>Sub Director Administrativo y Financiero</t>
  </si>
  <si>
    <t>VIÁTICOS FUERA DEL PAÍS</t>
  </si>
  <si>
    <t>MANTENIMIENTO Y REPARACION DE EQUIPO EDUCATIVOS</t>
  </si>
  <si>
    <t>ALMACENAJE</t>
  </si>
  <si>
    <t>LICENCIAS INFORMATICAS E INTELECTUALES</t>
  </si>
  <si>
    <t>SERVICIOS DE CONTABILIDAD Y AUDITORIA</t>
  </si>
  <si>
    <t>BONO POR DESEMPEÑO</t>
  </si>
  <si>
    <t>PRENDAS DE VESTIR</t>
  </si>
  <si>
    <t>LIBROS, REVISTAS Y PERIODICOS</t>
  </si>
  <si>
    <t>TRANSFERENCIAS CORRIENTES DESTINADAS A OTRAS</t>
  </si>
  <si>
    <t xml:space="preserve"> </t>
  </si>
  <si>
    <t>HILADOS Y TELAS</t>
  </si>
  <si>
    <t>PRODUCTOS DE ARTES GRAFICAS</t>
  </si>
  <si>
    <t>PRODUCTOS DE CEMENTO, CAL, ASBESTO, YESO Y ARCILLA</t>
  </si>
  <si>
    <t>UTILES MENORES MEDICO-QUIRURGICOS</t>
  </si>
  <si>
    <t>MADERA, CORCHO Y SUS MANUFACTURAS</t>
  </si>
  <si>
    <t>OTROS MOBILIARIOS Y EQUIPOS NO IDENTIFICADOS</t>
  </si>
  <si>
    <t>OTROS EQUIPOS</t>
  </si>
  <si>
    <t>EDIFICIOS, ESTRUCTURAS, TIERRAS, TERRENOS Y OBJETOS DE VALOR</t>
  </si>
  <si>
    <t>ARTICULOS DE CAUCHO</t>
  </si>
  <si>
    <t>EQUIPO Y APARATOS AUDIOVISUALES</t>
  </si>
  <si>
    <t>EQUIPO MEDICO Y DE LABORATORIO</t>
  </si>
  <si>
    <t xml:space="preserve">Stephanie Mañon Dicent </t>
  </si>
  <si>
    <t>TRANSFERENCIAS CORRIENTES A ASOCIACIONES SIN FINES DE LUCRO</t>
  </si>
  <si>
    <t>EQUIPOS  RECREATIVOS</t>
  </si>
  <si>
    <t>OTROS EQUIPOS DE TRANSPORTE</t>
  </si>
  <si>
    <t>MAQUINARIA Y EQUIPO AGROPECUARIO</t>
  </si>
  <si>
    <t>EQUIPO DE COMUNICACIÓN, TELECOMUNICACION</t>
  </si>
  <si>
    <t>AL 31 DE DICIEMBRE DEL 2024</t>
  </si>
  <si>
    <t>KEROSENO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</si>
</sst>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43" fontId="8" fillId="2" borderId="2" xfId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7" fillId="2" borderId="0" xfId="0" applyNumberFormat="1" applyFont="1" applyFill="1" applyBorder="1" applyAlignment="1">
      <alignment vertical="center"/>
    </xf>
    <xf numFmtId="49" fontId="26" fillId="2" borderId="0" xfId="0" applyNumberFormat="1" applyFont="1" applyFill="1" applyBorder="1"/>
    <xf numFmtId="49" fontId="0" fillId="2" borderId="0" xfId="0" applyNumberForma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</xdr:row>
      <xdr:rowOff>171450</xdr:rowOff>
    </xdr:from>
    <xdr:to>
      <xdr:col>6</xdr:col>
      <xdr:colOff>438150</xdr:colOff>
      <xdr:row>9</xdr:row>
      <xdr:rowOff>95250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619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1</xdr:row>
      <xdr:rowOff>161925</xdr:rowOff>
    </xdr:from>
    <xdr:to>
      <xdr:col>5</xdr:col>
      <xdr:colOff>523875</xdr:colOff>
      <xdr:row>9</xdr:row>
      <xdr:rowOff>85725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2</xdr:row>
      <xdr:rowOff>19050</xdr:rowOff>
    </xdr:from>
    <xdr:to>
      <xdr:col>5</xdr:col>
      <xdr:colOff>247650</xdr:colOff>
      <xdr:row>9</xdr:row>
      <xdr:rowOff>133350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K129"/>
  <sheetViews>
    <sheetView tabSelected="1" workbookViewId="0">
      <selection activeCell="C16" sqref="C16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1:9" ht="15.75" x14ac:dyDescent="0.25">
      <c r="A11" s="67" t="s">
        <v>0</v>
      </c>
      <c r="B11" s="67"/>
      <c r="C11" s="67"/>
      <c r="D11" s="67"/>
      <c r="E11" s="67"/>
      <c r="F11" s="67"/>
      <c r="G11" s="67"/>
      <c r="H11" s="67"/>
      <c r="I11" s="67"/>
    </row>
    <row r="12" spans="1:9" x14ac:dyDescent="0.25">
      <c r="A12" s="68" t="s">
        <v>229</v>
      </c>
      <c r="B12" s="68"/>
      <c r="C12" s="68"/>
      <c r="D12" s="68"/>
      <c r="E12" s="68"/>
      <c r="F12" s="68"/>
      <c r="G12" s="68"/>
      <c r="H12" s="68"/>
      <c r="I12" s="68"/>
    </row>
    <row r="13" spans="1:9" x14ac:dyDescent="0.25">
      <c r="A13" s="68" t="s">
        <v>1</v>
      </c>
      <c r="B13" s="68"/>
      <c r="C13" s="68"/>
      <c r="D13" s="68"/>
      <c r="E13" s="68"/>
      <c r="F13" s="68"/>
      <c r="G13" s="68"/>
      <c r="H13" s="68"/>
      <c r="I13" s="68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G15" s="2"/>
      <c r="H15" s="2"/>
    </row>
    <row r="16" spans="1:9" x14ac:dyDescent="0.25">
      <c r="B16" s="2"/>
      <c r="C16" s="2"/>
      <c r="D16" s="2"/>
      <c r="E16" s="2"/>
      <c r="F16" s="3"/>
      <c r="G16" s="2"/>
      <c r="H16" s="2"/>
    </row>
    <row r="17" spans="2:8" x14ac:dyDescent="0.25">
      <c r="B17" s="2"/>
      <c r="C17" s="2"/>
      <c r="D17" s="2"/>
      <c r="E17" s="2"/>
      <c r="F17" s="3"/>
      <c r="G17" s="2"/>
      <c r="H17" s="2"/>
    </row>
    <row r="18" spans="2:8" x14ac:dyDescent="0.25">
      <c r="B18" s="2"/>
      <c r="C18" s="4" t="s">
        <v>2</v>
      </c>
      <c r="D18" s="2"/>
      <c r="E18" s="2"/>
      <c r="F18" s="2"/>
      <c r="G18" s="2"/>
      <c r="H18" s="5" t="s">
        <v>3</v>
      </c>
    </row>
    <row r="19" spans="2:8" x14ac:dyDescent="0.25">
      <c r="B19" s="2"/>
      <c r="C19" s="6" t="s">
        <v>4</v>
      </c>
      <c r="D19" s="2"/>
      <c r="E19" s="2"/>
      <c r="F19" s="2"/>
      <c r="G19" s="2"/>
      <c r="H19" s="2"/>
    </row>
    <row r="20" spans="2:8" x14ac:dyDescent="0.25">
      <c r="B20" s="2"/>
      <c r="C20" s="7" t="s">
        <v>5</v>
      </c>
      <c r="D20" s="2"/>
      <c r="E20" s="21" t="s">
        <v>26</v>
      </c>
      <c r="F20" s="2"/>
      <c r="G20" s="2"/>
      <c r="H20" s="31">
        <v>19944134.18</v>
      </c>
    </row>
    <row r="21" spans="2:8" x14ac:dyDescent="0.25">
      <c r="B21" s="2"/>
      <c r="C21" s="7" t="s">
        <v>6</v>
      </c>
      <c r="D21" s="2"/>
      <c r="E21" s="21" t="s">
        <v>27</v>
      </c>
      <c r="F21" s="2"/>
      <c r="G21" s="2"/>
      <c r="H21" s="12">
        <v>213743.78</v>
      </c>
    </row>
    <row r="22" spans="2:8" x14ac:dyDescent="0.25">
      <c r="B22" s="2"/>
      <c r="C22" s="8" t="s">
        <v>7</v>
      </c>
      <c r="D22" s="2"/>
      <c r="E22" s="2"/>
      <c r="F22" s="2"/>
      <c r="G22" s="2"/>
      <c r="H22" s="9">
        <f>+H20+H21</f>
        <v>20157877.960000001</v>
      </c>
    </row>
    <row r="23" spans="2:8" x14ac:dyDescent="0.25">
      <c r="B23" s="2"/>
      <c r="C23" s="8"/>
      <c r="D23" s="2"/>
      <c r="E23" s="2"/>
      <c r="F23" s="2"/>
      <c r="G23" s="2"/>
      <c r="H23" s="9"/>
    </row>
    <row r="24" spans="2:8" x14ac:dyDescent="0.25">
      <c r="B24" s="2"/>
      <c r="C24" s="6" t="s">
        <v>8</v>
      </c>
      <c r="D24" s="2"/>
      <c r="E24" s="2"/>
      <c r="F24" s="2"/>
      <c r="G24" s="2"/>
      <c r="H24" s="2"/>
    </row>
    <row r="25" spans="2:8" x14ac:dyDescent="0.25">
      <c r="B25" s="2"/>
      <c r="C25" s="7" t="s">
        <v>9</v>
      </c>
      <c r="D25" s="2"/>
      <c r="E25" s="21" t="s">
        <v>28</v>
      </c>
      <c r="F25" s="2"/>
      <c r="G25" s="2"/>
      <c r="H25" s="10">
        <v>1830745933.8300004</v>
      </c>
    </row>
    <row r="26" spans="2:8" x14ac:dyDescent="0.25">
      <c r="B26" s="2"/>
      <c r="C26" s="7" t="s">
        <v>10</v>
      </c>
      <c r="D26" s="2"/>
      <c r="E26" s="21" t="s">
        <v>29</v>
      </c>
      <c r="F26" s="2"/>
      <c r="G26" s="2"/>
      <c r="H26" s="43">
        <v>-683082803.59000003</v>
      </c>
    </row>
    <row r="27" spans="2:8" x14ac:dyDescent="0.25">
      <c r="B27" s="2"/>
      <c r="C27" s="8" t="s">
        <v>11</v>
      </c>
      <c r="D27" s="2"/>
      <c r="E27" s="2"/>
      <c r="F27" s="2"/>
      <c r="G27" s="2"/>
      <c r="H27" s="9">
        <f>+H25+H26</f>
        <v>1147663130.2400002</v>
      </c>
    </row>
    <row r="28" spans="2:8" x14ac:dyDescent="0.25">
      <c r="B28" s="2"/>
      <c r="C28" s="8"/>
      <c r="D28" s="2"/>
      <c r="E28" s="2"/>
      <c r="F28" s="2"/>
      <c r="G28" s="2"/>
      <c r="H28" s="11"/>
    </row>
    <row r="29" spans="2:8" ht="16.5" thickBot="1" x14ac:dyDescent="0.3">
      <c r="B29" s="2"/>
      <c r="C29" s="13" t="s">
        <v>12</v>
      </c>
      <c r="D29" s="2"/>
      <c r="E29" s="2"/>
      <c r="F29" s="2"/>
      <c r="G29" s="2"/>
      <c r="H29" s="47">
        <f>+H22+H27</f>
        <v>1167821008.2000003</v>
      </c>
    </row>
    <row r="30" spans="2:8" ht="15.75" thickTop="1" x14ac:dyDescent="0.25">
      <c r="B30" s="2"/>
      <c r="C30" s="2"/>
      <c r="D30" s="2"/>
      <c r="E30" s="2"/>
      <c r="F30" s="2"/>
      <c r="G30" s="2"/>
      <c r="H30" s="9"/>
    </row>
    <row r="31" spans="2:8" x14ac:dyDescent="0.25">
      <c r="B31" s="2"/>
      <c r="C31" s="4" t="s">
        <v>13</v>
      </c>
      <c r="D31" s="2"/>
      <c r="E31" s="2"/>
      <c r="F31" s="2"/>
      <c r="G31" s="2"/>
      <c r="H31" s="2"/>
    </row>
    <row r="32" spans="2:8" x14ac:dyDescent="0.25">
      <c r="B32" s="2"/>
      <c r="C32" s="6" t="s">
        <v>14</v>
      </c>
      <c r="D32" s="2"/>
      <c r="E32" s="2"/>
      <c r="F32" s="2"/>
      <c r="G32" s="2"/>
      <c r="H32" s="2"/>
    </row>
    <row r="33" spans="2:11" x14ac:dyDescent="0.25">
      <c r="B33" s="2"/>
      <c r="C33" s="7" t="s">
        <v>15</v>
      </c>
      <c r="D33" s="2"/>
      <c r="E33" s="21" t="s">
        <v>30</v>
      </c>
      <c r="F33" s="2"/>
      <c r="G33" s="2"/>
      <c r="H33" s="15">
        <v>223854781.03</v>
      </c>
    </row>
    <row r="34" spans="2:11" x14ac:dyDescent="0.25">
      <c r="B34" s="2"/>
      <c r="C34" s="7" t="s">
        <v>16</v>
      </c>
      <c r="D34" s="2"/>
      <c r="E34" s="21" t="s">
        <v>31</v>
      </c>
      <c r="F34" s="2"/>
      <c r="G34" s="2"/>
      <c r="H34" s="12">
        <v>6624541.3300000001</v>
      </c>
    </row>
    <row r="35" spans="2:11" x14ac:dyDescent="0.25">
      <c r="B35" s="2"/>
      <c r="C35" s="8" t="s">
        <v>17</v>
      </c>
      <c r="D35" s="2"/>
      <c r="E35" s="2"/>
      <c r="F35" s="2"/>
      <c r="G35" s="2"/>
      <c r="H35" s="9">
        <f>+H33+H34</f>
        <v>230479322.36000001</v>
      </c>
      <c r="K35" s="16"/>
    </row>
    <row r="36" spans="2:11" x14ac:dyDescent="0.25">
      <c r="B36" s="2"/>
      <c r="C36" s="8"/>
      <c r="D36" s="2"/>
      <c r="E36" s="2"/>
      <c r="F36" s="2"/>
      <c r="G36" s="2"/>
      <c r="H36" s="2"/>
    </row>
    <row r="37" spans="2:11" x14ac:dyDescent="0.25">
      <c r="B37" s="2"/>
      <c r="C37" s="8" t="s">
        <v>18</v>
      </c>
      <c r="D37" s="2"/>
      <c r="E37" s="2"/>
      <c r="F37" s="2"/>
      <c r="G37" s="2"/>
      <c r="H37" s="10"/>
    </row>
    <row r="38" spans="2:11" x14ac:dyDescent="0.25">
      <c r="B38" s="2"/>
      <c r="C38" s="8" t="s">
        <v>19</v>
      </c>
      <c r="D38" s="2"/>
      <c r="E38" s="21" t="s">
        <v>32</v>
      </c>
      <c r="F38" s="2"/>
      <c r="G38" s="2"/>
      <c r="H38" s="12">
        <v>0</v>
      </c>
    </row>
    <row r="39" spans="2:11" x14ac:dyDescent="0.25">
      <c r="B39" s="2"/>
      <c r="C39" s="8" t="s">
        <v>20</v>
      </c>
      <c r="D39" s="2"/>
      <c r="E39" s="2"/>
      <c r="F39" s="2"/>
      <c r="G39" s="2"/>
      <c r="H39" s="9">
        <v>0</v>
      </c>
    </row>
    <row r="40" spans="2:11" x14ac:dyDescent="0.25">
      <c r="B40" s="2"/>
      <c r="C40" s="8"/>
      <c r="D40" s="2"/>
      <c r="E40" s="2"/>
      <c r="F40" s="2"/>
      <c r="G40" s="2"/>
      <c r="H40" s="9"/>
    </row>
    <row r="41" spans="2:11" x14ac:dyDescent="0.25">
      <c r="B41" s="2"/>
      <c r="C41" s="17" t="s">
        <v>21</v>
      </c>
      <c r="D41" s="2"/>
      <c r="E41" s="2"/>
      <c r="F41" s="2"/>
      <c r="G41" s="2"/>
      <c r="H41" s="2"/>
    </row>
    <row r="42" spans="2:11" x14ac:dyDescent="0.25">
      <c r="B42" s="2"/>
      <c r="C42" s="7" t="s">
        <v>22</v>
      </c>
      <c r="D42" s="2"/>
      <c r="E42" s="21" t="s">
        <v>35</v>
      </c>
      <c r="F42" s="2"/>
      <c r="G42" s="2"/>
      <c r="H42" s="12">
        <v>937341685.83999991</v>
      </c>
      <c r="I42" s="10"/>
    </row>
    <row r="43" spans="2:11" x14ac:dyDescent="0.25">
      <c r="B43" s="2"/>
      <c r="C43" s="8" t="s">
        <v>23</v>
      </c>
      <c r="D43" s="2"/>
      <c r="E43" s="2"/>
      <c r="F43" s="2"/>
      <c r="G43" s="2"/>
      <c r="H43" s="9">
        <f>+H42</f>
        <v>937341685.83999991</v>
      </c>
    </row>
    <row r="44" spans="2:11" x14ac:dyDescent="0.25">
      <c r="B44" s="18"/>
      <c r="C44" s="2"/>
      <c r="D44" s="2"/>
      <c r="E44" s="2"/>
      <c r="F44" s="2"/>
      <c r="G44" s="18"/>
      <c r="H44" s="2"/>
      <c r="J44" s="16"/>
      <c r="K44" s="16"/>
    </row>
    <row r="45" spans="2:11" ht="15.75" thickBot="1" x14ac:dyDescent="0.3">
      <c r="B45" s="2"/>
      <c r="C45" s="19" t="s">
        <v>24</v>
      </c>
      <c r="D45" s="2"/>
      <c r="E45" s="2"/>
      <c r="F45" s="2"/>
      <c r="G45" s="2"/>
      <c r="H45" s="47">
        <f>+H43+H35</f>
        <v>1167821008.1999998</v>
      </c>
      <c r="J45" s="16"/>
    </row>
    <row r="46" spans="2:11" ht="15.75" thickTop="1" x14ac:dyDescent="0.25">
      <c r="B46" s="2"/>
      <c r="C46" s="19"/>
      <c r="D46" s="2"/>
      <c r="E46" s="2"/>
      <c r="F46" s="2"/>
      <c r="G46" s="2"/>
      <c r="H46" s="14"/>
    </row>
    <row r="47" spans="2:11" x14ac:dyDescent="0.25">
      <c r="B47" s="2"/>
      <c r="C47" s="19"/>
      <c r="D47" s="2"/>
      <c r="E47" s="2"/>
      <c r="F47" s="2"/>
      <c r="G47" s="2"/>
      <c r="J47" s="14"/>
    </row>
    <row r="48" spans="2:11" x14ac:dyDescent="0.25">
      <c r="B48" s="2"/>
      <c r="C48" s="19"/>
      <c r="D48" s="2"/>
      <c r="E48" s="2"/>
      <c r="F48" s="2"/>
      <c r="G48" s="2"/>
      <c r="H48" s="57"/>
      <c r="I48" s="16"/>
      <c r="J48" s="16"/>
    </row>
    <row r="49" spans="2:9" x14ac:dyDescent="0.25">
      <c r="H49" s="16"/>
    </row>
    <row r="50" spans="2:9" x14ac:dyDescent="0.25">
      <c r="B50" s="21"/>
      <c r="C50" s="21"/>
      <c r="E50" s="33"/>
      <c r="F50" s="23"/>
      <c r="H50" s="22"/>
    </row>
    <row r="51" spans="2:9" x14ac:dyDescent="0.25">
      <c r="E51" s="32"/>
      <c r="F51" s="23"/>
    </row>
    <row r="52" spans="2:9" x14ac:dyDescent="0.25">
      <c r="D52" s="20"/>
      <c r="F52" s="18"/>
      <c r="I52" s="2"/>
    </row>
    <row r="53" spans="2:9" x14ac:dyDescent="0.25">
      <c r="B53" s="21"/>
      <c r="C53" s="21"/>
      <c r="D53" s="20"/>
      <c r="F53" s="23"/>
      <c r="H53" s="2"/>
      <c r="I53" s="2"/>
    </row>
    <row r="54" spans="2:9" x14ac:dyDescent="0.25">
      <c r="B54" s="33" t="s">
        <v>223</v>
      </c>
      <c r="C54" s="23"/>
      <c r="D54" s="23"/>
      <c r="F54" s="2"/>
      <c r="G54" s="2"/>
      <c r="H54" s="22" t="s">
        <v>168</v>
      </c>
      <c r="I54" s="23"/>
    </row>
    <row r="55" spans="2:9" x14ac:dyDescent="0.25">
      <c r="B55" s="30" t="s">
        <v>25</v>
      </c>
      <c r="C55" s="8"/>
      <c r="D55" s="23"/>
      <c r="G55" s="61" t="s">
        <v>201</v>
      </c>
      <c r="I55" s="23"/>
    </row>
    <row r="58" spans="2:9" x14ac:dyDescent="0.25">
      <c r="B58" s="25"/>
      <c r="C58" s="25"/>
    </row>
    <row r="59" spans="2:9" x14ac:dyDescent="0.25">
      <c r="H59" s="16"/>
      <c r="I59" s="26"/>
    </row>
    <row r="60" spans="2:9" x14ac:dyDescent="0.25">
      <c r="C60" s="27"/>
      <c r="I60" s="28"/>
    </row>
    <row r="61" spans="2:9" x14ac:dyDescent="0.25">
      <c r="B61" s="25"/>
      <c r="C61" s="25"/>
      <c r="I61" s="24"/>
    </row>
    <row r="62" spans="2:9" x14ac:dyDescent="0.25">
      <c r="I62" s="26"/>
    </row>
    <row r="63" spans="2:9" x14ac:dyDescent="0.25">
      <c r="C63" s="27"/>
      <c r="I63" s="28"/>
    </row>
    <row r="65" spans="2:9" x14ac:dyDescent="0.25">
      <c r="C65" s="27"/>
      <c r="I65" s="28"/>
    </row>
    <row r="67" spans="2:9" x14ac:dyDescent="0.25">
      <c r="C67" s="27"/>
      <c r="I67" s="28"/>
    </row>
    <row r="68" spans="2:9" x14ac:dyDescent="0.25">
      <c r="B68" s="25"/>
      <c r="C68" s="25"/>
      <c r="I68" s="24"/>
    </row>
    <row r="69" spans="2:9" x14ac:dyDescent="0.25">
      <c r="B69" s="25"/>
      <c r="C69" s="25"/>
      <c r="I69" s="24"/>
    </row>
    <row r="70" spans="2:9" x14ac:dyDescent="0.25">
      <c r="B70" s="25"/>
      <c r="C70" s="25"/>
      <c r="I70" s="24"/>
    </row>
    <row r="71" spans="2:9" x14ac:dyDescent="0.25">
      <c r="B71" s="25"/>
      <c r="C71" s="25"/>
      <c r="I71" s="24"/>
    </row>
    <row r="72" spans="2:9" x14ac:dyDescent="0.25">
      <c r="B72" s="25"/>
      <c r="C72" s="25"/>
      <c r="I72" s="24"/>
    </row>
    <row r="73" spans="2:9" x14ac:dyDescent="0.25">
      <c r="B73" s="25"/>
      <c r="C73" s="25"/>
      <c r="I73" s="24"/>
    </row>
    <row r="74" spans="2:9" x14ac:dyDescent="0.25">
      <c r="I74" s="26"/>
    </row>
    <row r="75" spans="2:9" x14ac:dyDescent="0.25">
      <c r="C75" s="27"/>
      <c r="I75" s="28"/>
    </row>
    <row r="76" spans="2:9" x14ac:dyDescent="0.25">
      <c r="B76" s="25"/>
      <c r="C76" s="25"/>
      <c r="I76" s="24"/>
    </row>
    <row r="77" spans="2:9" x14ac:dyDescent="0.25">
      <c r="I77" s="26"/>
    </row>
    <row r="78" spans="2:9" x14ac:dyDescent="0.25">
      <c r="C78" s="27"/>
      <c r="I78" s="28"/>
    </row>
    <row r="79" spans="2:9" x14ac:dyDescent="0.25">
      <c r="B79" s="25"/>
      <c r="C79" s="25"/>
      <c r="I79" s="24"/>
    </row>
    <row r="80" spans="2:9" x14ac:dyDescent="0.25">
      <c r="B80" s="25"/>
      <c r="C80" s="25"/>
      <c r="I80" s="24"/>
    </row>
    <row r="81" spans="2:9" x14ac:dyDescent="0.25">
      <c r="B81" s="25"/>
      <c r="C81" s="25"/>
      <c r="I81" s="24"/>
    </row>
    <row r="82" spans="2:9" x14ac:dyDescent="0.25">
      <c r="B82" s="25"/>
      <c r="C82" s="25"/>
      <c r="I82" s="24"/>
    </row>
    <row r="83" spans="2:9" x14ac:dyDescent="0.25">
      <c r="B83" s="25"/>
      <c r="C83" s="25"/>
      <c r="I83" s="24"/>
    </row>
    <row r="84" spans="2:9" x14ac:dyDescent="0.25">
      <c r="B84" s="25"/>
      <c r="C84" s="25"/>
      <c r="I84" s="29"/>
    </row>
    <row r="85" spans="2:9" x14ac:dyDescent="0.25">
      <c r="I85" s="26"/>
    </row>
    <row r="86" spans="2:9" x14ac:dyDescent="0.25">
      <c r="C86" s="27"/>
      <c r="I86" s="28"/>
    </row>
    <row r="87" spans="2:9" x14ac:dyDescent="0.25">
      <c r="B87" s="25"/>
      <c r="C87" s="25"/>
      <c r="I87" s="29"/>
    </row>
    <row r="88" spans="2:9" x14ac:dyDescent="0.25">
      <c r="B88" s="25"/>
      <c r="C88" s="25"/>
      <c r="I88" s="29"/>
    </row>
    <row r="89" spans="2:9" x14ac:dyDescent="0.25">
      <c r="B89" s="25"/>
      <c r="C89" s="25"/>
      <c r="I89" s="29"/>
    </row>
    <row r="90" spans="2:9" x14ac:dyDescent="0.25">
      <c r="B90" s="25"/>
      <c r="C90" s="25"/>
      <c r="I90" s="29"/>
    </row>
    <row r="91" spans="2:9" x14ac:dyDescent="0.25">
      <c r="B91" s="25"/>
      <c r="C91" s="25"/>
      <c r="I91" s="29"/>
    </row>
    <row r="92" spans="2:9" x14ac:dyDescent="0.25">
      <c r="B92" s="25"/>
      <c r="C92" s="25"/>
      <c r="I92" s="29"/>
    </row>
    <row r="93" spans="2:9" x14ac:dyDescent="0.25">
      <c r="B93" s="25"/>
      <c r="C93" s="25"/>
      <c r="I93" s="29"/>
    </row>
    <row r="94" spans="2:9" x14ac:dyDescent="0.25">
      <c r="B94" s="25"/>
      <c r="C94" s="25"/>
      <c r="I94" s="29"/>
    </row>
    <row r="95" spans="2:9" x14ac:dyDescent="0.25">
      <c r="I95" s="26"/>
    </row>
    <row r="96" spans="2:9" x14ac:dyDescent="0.25">
      <c r="C96" s="27"/>
      <c r="I96" s="28"/>
    </row>
    <row r="97" spans="2:9" x14ac:dyDescent="0.25">
      <c r="B97" s="25"/>
      <c r="C97" s="25"/>
      <c r="I97" s="24"/>
    </row>
    <row r="98" spans="2:9" x14ac:dyDescent="0.25">
      <c r="I98" s="26"/>
    </row>
    <row r="99" spans="2:9" x14ac:dyDescent="0.25">
      <c r="C99" s="27"/>
      <c r="I99" s="28"/>
    </row>
    <row r="100" spans="2:9" x14ac:dyDescent="0.25">
      <c r="B100" s="25"/>
      <c r="C100" s="25"/>
      <c r="I100" s="24"/>
    </row>
    <row r="101" spans="2:9" x14ac:dyDescent="0.25">
      <c r="B101" s="25"/>
      <c r="C101" s="25"/>
      <c r="I101" s="24"/>
    </row>
    <row r="102" spans="2:9" x14ac:dyDescent="0.25">
      <c r="B102" s="25"/>
      <c r="C102" s="25"/>
      <c r="I102" s="24"/>
    </row>
    <row r="103" spans="2:9" x14ac:dyDescent="0.25">
      <c r="B103" s="25"/>
      <c r="C103" s="25"/>
      <c r="I103" s="24"/>
    </row>
    <row r="104" spans="2:9" x14ac:dyDescent="0.25">
      <c r="B104" s="25"/>
      <c r="C104" s="25"/>
      <c r="I104" s="24"/>
    </row>
    <row r="105" spans="2:9" x14ac:dyDescent="0.25">
      <c r="B105" s="25"/>
      <c r="C105" s="25"/>
      <c r="I105" s="24"/>
    </row>
    <row r="106" spans="2:9" x14ac:dyDescent="0.25">
      <c r="B106" s="25"/>
      <c r="C106" s="25"/>
      <c r="I106" s="24"/>
    </row>
    <row r="107" spans="2:9" x14ac:dyDescent="0.25">
      <c r="B107" s="25"/>
      <c r="C107" s="25"/>
      <c r="I107" s="24"/>
    </row>
    <row r="108" spans="2:9" x14ac:dyDescent="0.25">
      <c r="B108" s="25"/>
      <c r="C108" s="25"/>
      <c r="I108" s="24"/>
    </row>
    <row r="109" spans="2:9" x14ac:dyDescent="0.25">
      <c r="B109" s="25"/>
      <c r="C109" s="25"/>
      <c r="I109" s="24"/>
    </row>
    <row r="110" spans="2:9" x14ac:dyDescent="0.25">
      <c r="B110" s="25"/>
      <c r="C110" s="25"/>
      <c r="I110" s="24"/>
    </row>
    <row r="111" spans="2:9" x14ac:dyDescent="0.25">
      <c r="B111" s="25"/>
      <c r="C111" s="25"/>
      <c r="I111" s="24"/>
    </row>
    <row r="112" spans="2:9" x14ac:dyDescent="0.25">
      <c r="B112" s="25"/>
      <c r="C112" s="25"/>
      <c r="I112" s="24"/>
    </row>
    <row r="113" spans="2:9" x14ac:dyDescent="0.25">
      <c r="I113" s="26"/>
    </row>
    <row r="114" spans="2:9" x14ac:dyDescent="0.25">
      <c r="C114" s="27"/>
      <c r="I114" s="28"/>
    </row>
    <row r="115" spans="2:9" x14ac:dyDescent="0.25">
      <c r="B115" s="25"/>
      <c r="C115" s="25"/>
      <c r="I115" s="24"/>
    </row>
    <row r="116" spans="2:9" x14ac:dyDescent="0.25">
      <c r="I116" s="26"/>
    </row>
    <row r="117" spans="2:9" x14ac:dyDescent="0.25">
      <c r="C117" s="27"/>
      <c r="I117" s="28"/>
    </row>
    <row r="118" spans="2:9" x14ac:dyDescent="0.25">
      <c r="B118" s="25"/>
      <c r="C118" s="25"/>
      <c r="I118" s="24"/>
    </row>
    <row r="119" spans="2:9" x14ac:dyDescent="0.25">
      <c r="B119" s="25"/>
      <c r="C119" s="25"/>
      <c r="I119" s="24"/>
    </row>
    <row r="120" spans="2:9" x14ac:dyDescent="0.25">
      <c r="B120" s="25"/>
      <c r="C120" s="25"/>
      <c r="I120" s="24"/>
    </row>
    <row r="121" spans="2:9" x14ac:dyDescent="0.25">
      <c r="I121" s="26"/>
    </row>
    <row r="122" spans="2:9" x14ac:dyDescent="0.25">
      <c r="C122" s="27"/>
      <c r="I122" s="28"/>
    </row>
    <row r="123" spans="2:9" x14ac:dyDescent="0.25">
      <c r="B123" s="25"/>
      <c r="C123" s="25"/>
      <c r="I123" s="24"/>
    </row>
    <row r="124" spans="2:9" x14ac:dyDescent="0.25">
      <c r="B124" s="25"/>
      <c r="C124" s="25"/>
      <c r="I124" s="24"/>
    </row>
    <row r="125" spans="2:9" x14ac:dyDescent="0.25">
      <c r="B125" s="25"/>
      <c r="C125" s="25"/>
      <c r="I125" s="24"/>
    </row>
    <row r="126" spans="2:9" x14ac:dyDescent="0.25">
      <c r="B126" s="25"/>
      <c r="C126" s="25"/>
      <c r="I126" s="24"/>
    </row>
    <row r="127" spans="2:9" x14ac:dyDescent="0.25">
      <c r="B127" s="25"/>
      <c r="C127" s="25"/>
      <c r="I127" s="24"/>
    </row>
    <row r="128" spans="2:9" x14ac:dyDescent="0.25">
      <c r="B128" s="25"/>
      <c r="C128" s="25"/>
      <c r="I128" s="24"/>
    </row>
    <row r="129" spans="9:9" x14ac:dyDescent="0.25">
      <c r="I129" s="26"/>
    </row>
  </sheetData>
  <mergeCells count="3">
    <mergeCell ref="A11:I11"/>
    <mergeCell ref="A12:I12"/>
    <mergeCell ref="A13:I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topLeftCell="A25" workbookViewId="0">
      <selection activeCell="I38" sqref="I38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1:8" ht="15.75" x14ac:dyDescent="0.25">
      <c r="A11" s="67" t="s">
        <v>33</v>
      </c>
      <c r="B11" s="67"/>
      <c r="C11" s="67"/>
      <c r="D11" s="67"/>
      <c r="E11" s="67"/>
      <c r="F11" s="67"/>
      <c r="G11" s="67"/>
      <c r="H11" s="67"/>
    </row>
    <row r="12" spans="1:8" x14ac:dyDescent="0.25">
      <c r="A12" s="68" t="s">
        <v>229</v>
      </c>
      <c r="B12" s="68"/>
      <c r="C12" s="68"/>
      <c r="D12" s="68"/>
      <c r="E12" s="68"/>
      <c r="F12" s="68"/>
      <c r="G12" s="68"/>
      <c r="H12" s="68"/>
    </row>
    <row r="13" spans="1:8" x14ac:dyDescent="0.25">
      <c r="A13" s="68" t="s">
        <v>1</v>
      </c>
      <c r="B13" s="68"/>
      <c r="C13" s="68"/>
      <c r="D13" s="68"/>
      <c r="E13" s="68"/>
      <c r="F13" s="68"/>
      <c r="G13" s="68"/>
      <c r="H13" s="68"/>
    </row>
    <row r="14" spans="1:8" x14ac:dyDescent="0.25">
      <c r="B14" s="2"/>
      <c r="C14" s="2"/>
      <c r="D14" s="2"/>
      <c r="E14" s="2"/>
      <c r="F14" s="2"/>
      <c r="G14" s="2"/>
      <c r="H14" s="2"/>
    </row>
    <row r="15" spans="1:8" x14ac:dyDescent="0.25">
      <c r="B15" s="2"/>
      <c r="C15" s="2"/>
      <c r="D15" s="2"/>
      <c r="E15" s="2"/>
      <c r="G15" s="2"/>
      <c r="H15" s="2"/>
    </row>
    <row r="16" spans="1:8" x14ac:dyDescent="0.25">
      <c r="B16" s="2"/>
      <c r="C16" s="2"/>
      <c r="D16" s="2"/>
      <c r="E16" s="2"/>
      <c r="F16" s="3"/>
      <c r="G16" s="2"/>
      <c r="H16" s="2"/>
    </row>
    <row r="17" spans="1:13" x14ac:dyDescent="0.25">
      <c r="B17" s="2"/>
      <c r="C17" s="2"/>
      <c r="D17" s="2"/>
      <c r="E17" s="2"/>
      <c r="F17" s="3"/>
      <c r="G17" s="2"/>
      <c r="H17" s="2"/>
    </row>
    <row r="18" spans="1:13" x14ac:dyDescent="0.25">
      <c r="B18" s="2"/>
      <c r="C18" s="4" t="s">
        <v>90</v>
      </c>
      <c r="D18" s="2"/>
      <c r="E18" s="2"/>
      <c r="F18" s="2"/>
      <c r="G18" s="2"/>
      <c r="H18" s="5" t="s">
        <v>3</v>
      </c>
    </row>
    <row r="19" spans="1:13" x14ac:dyDescent="0.25">
      <c r="A19" s="52"/>
      <c r="C19" s="49" t="s">
        <v>91</v>
      </c>
      <c r="D19" s="2"/>
      <c r="F19" s="21" t="s">
        <v>36</v>
      </c>
      <c r="G19" s="2"/>
      <c r="H19" s="31">
        <v>5053460063.4700003</v>
      </c>
    </row>
    <row r="20" spans="1:13" x14ac:dyDescent="0.25">
      <c r="A20" s="21"/>
      <c r="C20" s="7" t="s">
        <v>34</v>
      </c>
      <c r="D20" s="2"/>
      <c r="F20" s="2"/>
      <c r="G20" s="2"/>
      <c r="H20" s="12">
        <f>'Nota a los Estado '!G75</f>
        <v>0</v>
      </c>
    </row>
    <row r="21" spans="1:13" x14ac:dyDescent="0.25">
      <c r="A21" s="2"/>
      <c r="C21" s="8" t="s">
        <v>37</v>
      </c>
      <c r="D21" s="2"/>
      <c r="E21" s="2"/>
      <c r="F21" s="2"/>
      <c r="G21" s="2"/>
      <c r="H21" s="9">
        <f>+H19+H20</f>
        <v>5053460063.4700003</v>
      </c>
      <c r="J21" s="46"/>
      <c r="K21" s="46"/>
    </row>
    <row r="22" spans="1:13" x14ac:dyDescent="0.25">
      <c r="A22" s="2"/>
      <c r="C22" s="8"/>
      <c r="D22" s="2"/>
      <c r="E22" s="2"/>
      <c r="F22" s="2"/>
      <c r="G22" s="2"/>
      <c r="H22" s="9"/>
    </row>
    <row r="23" spans="1:13" x14ac:dyDescent="0.25">
      <c r="A23" s="2"/>
      <c r="C23" s="6" t="s">
        <v>38</v>
      </c>
      <c r="D23" s="2"/>
      <c r="E23" s="2"/>
      <c r="F23" s="2"/>
      <c r="G23" s="2"/>
      <c r="H23" s="2"/>
    </row>
    <row r="24" spans="1:13" x14ac:dyDescent="0.25">
      <c r="A24" s="21"/>
      <c r="C24" s="51" t="s">
        <v>86</v>
      </c>
      <c r="D24" s="2"/>
      <c r="F24" s="21" t="s">
        <v>39</v>
      </c>
      <c r="G24" s="2"/>
      <c r="H24" s="50">
        <v>459767660.62999994</v>
      </c>
    </row>
    <row r="25" spans="1:13" x14ac:dyDescent="0.25">
      <c r="A25" s="21"/>
      <c r="C25" s="7" t="s">
        <v>87</v>
      </c>
      <c r="D25" s="2"/>
      <c r="F25" s="21" t="s">
        <v>40</v>
      </c>
      <c r="G25" s="2"/>
      <c r="H25" s="50">
        <v>110985753.78999996</v>
      </c>
    </row>
    <row r="26" spans="1:13" x14ac:dyDescent="0.25">
      <c r="A26" s="21"/>
      <c r="C26" s="7" t="s">
        <v>88</v>
      </c>
      <c r="D26" s="2"/>
      <c r="F26" s="21" t="s">
        <v>41</v>
      </c>
      <c r="G26" s="2"/>
      <c r="H26" s="50">
        <v>31794223.490000002</v>
      </c>
    </row>
    <row r="27" spans="1:13" x14ac:dyDescent="0.25">
      <c r="A27" s="21"/>
      <c r="C27" s="7" t="s">
        <v>89</v>
      </c>
      <c r="D27" s="2"/>
      <c r="F27" s="21" t="s">
        <v>42</v>
      </c>
      <c r="G27" s="2"/>
      <c r="H27" s="10">
        <v>4421357425.3500004</v>
      </c>
    </row>
    <row r="28" spans="1:13" x14ac:dyDescent="0.25">
      <c r="A28" s="21"/>
      <c r="C28" s="49" t="s">
        <v>149</v>
      </c>
      <c r="D28" s="2"/>
      <c r="F28" s="21" t="s">
        <v>150</v>
      </c>
      <c r="G28" s="2"/>
      <c r="H28" s="10">
        <v>26541466.529999997</v>
      </c>
    </row>
    <row r="29" spans="1:13" x14ac:dyDescent="0.25">
      <c r="A29" s="21"/>
      <c r="C29" s="49" t="s">
        <v>151</v>
      </c>
      <c r="D29" s="2"/>
      <c r="F29" s="21" t="s">
        <v>152</v>
      </c>
      <c r="G29" s="2"/>
      <c r="H29" s="12">
        <v>3013533.68</v>
      </c>
    </row>
    <row r="30" spans="1:13" x14ac:dyDescent="0.25">
      <c r="B30" s="2"/>
      <c r="C30" s="8" t="s">
        <v>43</v>
      </c>
      <c r="D30" s="2"/>
      <c r="E30" s="2"/>
      <c r="F30" s="2"/>
      <c r="G30" s="2"/>
      <c r="H30" s="39">
        <f>SUM(H24:H29)</f>
        <v>5053460063.4700003</v>
      </c>
      <c r="J30" s="38"/>
      <c r="K30" s="46"/>
      <c r="L30" s="46"/>
      <c r="M30" s="46"/>
    </row>
    <row r="31" spans="1:13" x14ac:dyDescent="0.25">
      <c r="B31" s="2"/>
      <c r="C31" s="8"/>
      <c r="D31" s="2"/>
      <c r="E31" s="2"/>
      <c r="F31" s="2"/>
      <c r="G31" s="2"/>
      <c r="H31" s="11"/>
    </row>
    <row r="32" spans="1:13" x14ac:dyDescent="0.25">
      <c r="B32" s="2"/>
      <c r="C32" s="58" t="s">
        <v>44</v>
      </c>
      <c r="D32" s="2"/>
      <c r="E32" s="2"/>
      <c r="F32" s="2"/>
      <c r="G32" s="2"/>
      <c r="H32" s="39">
        <f>H21-H30</f>
        <v>0</v>
      </c>
    </row>
    <row r="33" spans="2:10" x14ac:dyDescent="0.25">
      <c r="B33" s="2"/>
      <c r="C33" s="2"/>
      <c r="D33" s="2"/>
      <c r="E33" s="2"/>
      <c r="F33" s="2"/>
      <c r="G33" s="2"/>
      <c r="H33" s="9"/>
    </row>
    <row r="34" spans="2:10" ht="15.75" thickBot="1" x14ac:dyDescent="0.3">
      <c r="B34" s="2"/>
      <c r="C34" s="58" t="s">
        <v>45</v>
      </c>
      <c r="D34" s="2"/>
      <c r="E34" s="2"/>
      <c r="F34" s="2"/>
      <c r="G34" s="2"/>
      <c r="H34" s="56">
        <f>H32</f>
        <v>0</v>
      </c>
      <c r="J34" s="46"/>
    </row>
    <row r="35" spans="2:10" ht="15.75" thickTop="1" x14ac:dyDescent="0.25">
      <c r="B35" s="2"/>
      <c r="C35" s="19"/>
      <c r="D35" s="2"/>
      <c r="E35" s="2"/>
      <c r="F35" s="2"/>
      <c r="G35" s="2"/>
      <c r="H35" s="14"/>
    </row>
    <row r="36" spans="2:10" x14ac:dyDescent="0.25">
      <c r="B36" s="2"/>
      <c r="C36" s="19"/>
      <c r="D36" s="2"/>
      <c r="E36" s="2"/>
      <c r="F36" s="2"/>
      <c r="G36" s="2"/>
      <c r="H36" s="14"/>
    </row>
    <row r="37" spans="2:10" x14ac:dyDescent="0.25">
      <c r="B37" s="2"/>
      <c r="C37" s="19"/>
      <c r="D37" s="2"/>
      <c r="E37" s="2"/>
      <c r="F37" s="2"/>
      <c r="G37" s="2"/>
      <c r="H37" s="14"/>
    </row>
    <row r="38" spans="2:10" x14ac:dyDescent="0.25">
      <c r="B38" s="2"/>
      <c r="C38" s="19"/>
      <c r="D38" s="2"/>
      <c r="E38" s="2"/>
      <c r="F38" s="2"/>
      <c r="G38" s="2"/>
      <c r="H38" s="20"/>
    </row>
    <row r="40" spans="2:10" x14ac:dyDescent="0.25">
      <c r="F40" s="2"/>
    </row>
    <row r="41" spans="2:10" x14ac:dyDescent="0.25">
      <c r="F41" s="23"/>
    </row>
    <row r="42" spans="2:10" x14ac:dyDescent="0.25">
      <c r="B42" s="21"/>
      <c r="C42" s="21"/>
      <c r="E42" s="34"/>
      <c r="F42" s="23"/>
      <c r="H42" s="22"/>
    </row>
    <row r="43" spans="2:10" x14ac:dyDescent="0.25">
      <c r="D43" s="20"/>
      <c r="E43" s="23"/>
    </row>
    <row r="44" spans="2:10" x14ac:dyDescent="0.25">
      <c r="B44" s="33" t="s">
        <v>223</v>
      </c>
      <c r="C44" s="23"/>
      <c r="D44" s="23"/>
      <c r="F44" s="23"/>
      <c r="G44" s="22" t="s">
        <v>168</v>
      </c>
    </row>
    <row r="45" spans="2:10" x14ac:dyDescent="0.25">
      <c r="B45" s="30" t="s">
        <v>25</v>
      </c>
      <c r="C45" s="8"/>
      <c r="F45" s="61" t="s">
        <v>201</v>
      </c>
    </row>
    <row r="47" spans="2:10" x14ac:dyDescent="0.25">
      <c r="B47" s="25"/>
      <c r="C47" s="25"/>
    </row>
    <row r="48" spans="2:10" x14ac:dyDescent="0.25">
      <c r="H48" s="16"/>
    </row>
    <row r="49" spans="2:3" x14ac:dyDescent="0.25">
      <c r="C49" s="27"/>
    </row>
    <row r="50" spans="2:3" x14ac:dyDescent="0.25">
      <c r="B50" s="25"/>
      <c r="C50" s="25"/>
    </row>
    <row r="52" spans="2:3" x14ac:dyDescent="0.25">
      <c r="C52" s="27"/>
    </row>
    <row r="54" spans="2:3" x14ac:dyDescent="0.25">
      <c r="C54" s="27"/>
    </row>
    <row r="56" spans="2:3" x14ac:dyDescent="0.25">
      <c r="C56" s="27"/>
    </row>
    <row r="57" spans="2:3" x14ac:dyDescent="0.25">
      <c r="B57" s="25"/>
      <c r="C57" s="25"/>
    </row>
    <row r="58" spans="2:3" x14ac:dyDescent="0.25">
      <c r="B58" s="25"/>
      <c r="C58" s="25"/>
    </row>
    <row r="59" spans="2:3" x14ac:dyDescent="0.25">
      <c r="B59" s="25"/>
      <c r="C59" s="25"/>
    </row>
    <row r="60" spans="2:3" x14ac:dyDescent="0.25">
      <c r="B60" s="25"/>
      <c r="C60" s="25"/>
    </row>
    <row r="61" spans="2:3" x14ac:dyDescent="0.25">
      <c r="B61" s="25"/>
      <c r="C61" s="25"/>
    </row>
    <row r="62" spans="2:3" x14ac:dyDescent="0.25">
      <c r="B62" s="25"/>
      <c r="C62" s="25"/>
    </row>
    <row r="64" spans="2:3" x14ac:dyDescent="0.25">
      <c r="C64" s="27"/>
    </row>
    <row r="65" spans="2:3" x14ac:dyDescent="0.25">
      <c r="B65" s="25"/>
      <c r="C65" s="25"/>
    </row>
    <row r="67" spans="2:3" x14ac:dyDescent="0.25">
      <c r="C67" s="27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5" spans="2:3" x14ac:dyDescent="0.25">
      <c r="C75" s="27"/>
    </row>
    <row r="76" spans="2:3" x14ac:dyDescent="0.25">
      <c r="B76" s="25"/>
      <c r="C76" s="25"/>
    </row>
    <row r="77" spans="2:3" x14ac:dyDescent="0.25">
      <c r="B77" s="25"/>
      <c r="C77" s="25"/>
    </row>
    <row r="78" spans="2:3" x14ac:dyDescent="0.25">
      <c r="B78" s="25"/>
      <c r="C78" s="25"/>
    </row>
    <row r="79" spans="2:3" x14ac:dyDescent="0.25">
      <c r="B79" s="25"/>
      <c r="C79" s="25"/>
    </row>
    <row r="80" spans="2:3" x14ac:dyDescent="0.25">
      <c r="B80" s="25"/>
      <c r="C80" s="25"/>
    </row>
    <row r="81" spans="2:3" x14ac:dyDescent="0.25">
      <c r="B81" s="25"/>
      <c r="C81" s="25"/>
    </row>
    <row r="82" spans="2:3" x14ac:dyDescent="0.25">
      <c r="B82" s="25"/>
      <c r="C82" s="25"/>
    </row>
    <row r="83" spans="2:3" x14ac:dyDescent="0.25">
      <c r="B83" s="25"/>
      <c r="C83" s="25"/>
    </row>
    <row r="85" spans="2:3" x14ac:dyDescent="0.25">
      <c r="C85" s="27"/>
    </row>
    <row r="86" spans="2:3" x14ac:dyDescent="0.25">
      <c r="B86" s="25"/>
      <c r="C86" s="25"/>
    </row>
    <row r="88" spans="2:3" x14ac:dyDescent="0.25">
      <c r="C88" s="27"/>
    </row>
    <row r="89" spans="2:3" x14ac:dyDescent="0.25">
      <c r="B89" s="25"/>
      <c r="C89" s="25"/>
    </row>
    <row r="90" spans="2:3" x14ac:dyDescent="0.25">
      <c r="B90" s="25"/>
      <c r="C90" s="25"/>
    </row>
    <row r="91" spans="2:3" x14ac:dyDescent="0.25">
      <c r="B91" s="25"/>
      <c r="C91" s="25"/>
    </row>
    <row r="92" spans="2:3" x14ac:dyDescent="0.25">
      <c r="B92" s="25"/>
      <c r="C92" s="25"/>
    </row>
    <row r="93" spans="2:3" x14ac:dyDescent="0.25">
      <c r="B93" s="25"/>
      <c r="C93" s="25"/>
    </row>
    <row r="94" spans="2:3" x14ac:dyDescent="0.25">
      <c r="B94" s="25"/>
      <c r="C94" s="25"/>
    </row>
    <row r="95" spans="2:3" x14ac:dyDescent="0.25">
      <c r="B95" s="25"/>
      <c r="C95" s="25"/>
    </row>
    <row r="96" spans="2:3" x14ac:dyDescent="0.25">
      <c r="B96" s="25"/>
      <c r="C96" s="25"/>
    </row>
    <row r="97" spans="2:3" x14ac:dyDescent="0.25">
      <c r="B97" s="25"/>
      <c r="C97" s="25"/>
    </row>
    <row r="98" spans="2:3" x14ac:dyDescent="0.25">
      <c r="B98" s="25"/>
      <c r="C98" s="25"/>
    </row>
    <row r="99" spans="2:3" x14ac:dyDescent="0.25">
      <c r="B99" s="25"/>
      <c r="C99" s="25"/>
    </row>
    <row r="100" spans="2:3" x14ac:dyDescent="0.25">
      <c r="B100" s="25"/>
      <c r="C100" s="25"/>
    </row>
    <row r="101" spans="2:3" x14ac:dyDescent="0.25">
      <c r="B101" s="25"/>
      <c r="C101" s="25"/>
    </row>
    <row r="103" spans="2:3" x14ac:dyDescent="0.25">
      <c r="C103" s="27"/>
    </row>
    <row r="104" spans="2:3" x14ac:dyDescent="0.25">
      <c r="B104" s="25"/>
      <c r="C104" s="25"/>
    </row>
    <row r="106" spans="2:3" x14ac:dyDescent="0.25">
      <c r="C106" s="27"/>
    </row>
    <row r="107" spans="2:3" x14ac:dyDescent="0.25">
      <c r="B107" s="25"/>
      <c r="C107" s="25"/>
    </row>
    <row r="108" spans="2:3" x14ac:dyDescent="0.25">
      <c r="B108" s="25"/>
      <c r="C108" s="25"/>
    </row>
    <row r="109" spans="2:3" x14ac:dyDescent="0.25">
      <c r="B109" s="25"/>
      <c r="C109" s="25"/>
    </row>
    <row r="111" spans="2:3" x14ac:dyDescent="0.25">
      <c r="C111" s="27"/>
    </row>
    <row r="112" spans="2:3" x14ac:dyDescent="0.25">
      <c r="B112" s="25"/>
      <c r="C112" s="25"/>
    </row>
    <row r="113" spans="2:3" x14ac:dyDescent="0.25">
      <c r="B113" s="25"/>
      <c r="C113" s="25"/>
    </row>
    <row r="114" spans="2:3" x14ac:dyDescent="0.25">
      <c r="B114" s="25"/>
      <c r="C114" s="25"/>
    </row>
    <row r="115" spans="2:3" x14ac:dyDescent="0.25">
      <c r="B115" s="25"/>
      <c r="C115" s="25"/>
    </row>
    <row r="116" spans="2:3" x14ac:dyDescent="0.25">
      <c r="B116" s="25"/>
      <c r="C116" s="25"/>
    </row>
    <row r="117" spans="2:3" x14ac:dyDescent="0.25">
      <c r="B117" s="25"/>
      <c r="C117" s="25"/>
    </row>
  </sheetData>
  <mergeCells count="3">
    <mergeCell ref="A11:H11"/>
    <mergeCell ref="A12:H12"/>
    <mergeCell ref="A13:H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0"/>
  <sheetViews>
    <sheetView workbookViewId="0">
      <selection activeCell="B3" sqref="B3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1:8" x14ac:dyDescent="0.25">
      <c r="B3" s="1" t="s">
        <v>211</v>
      </c>
    </row>
    <row r="11" spans="1:8" ht="15.75" x14ac:dyDescent="0.25">
      <c r="A11" s="67" t="s">
        <v>46</v>
      </c>
      <c r="B11" s="67"/>
      <c r="C11" s="67"/>
      <c r="D11" s="67"/>
      <c r="E11" s="67"/>
      <c r="F11" s="67"/>
      <c r="G11" s="67"/>
      <c r="H11" s="67"/>
    </row>
    <row r="12" spans="1:8" x14ac:dyDescent="0.25">
      <c r="A12" s="68" t="s">
        <v>229</v>
      </c>
      <c r="B12" s="68"/>
      <c r="C12" s="68"/>
      <c r="D12" s="68"/>
      <c r="E12" s="68"/>
      <c r="F12" s="68"/>
      <c r="G12" s="68"/>
      <c r="H12" s="68"/>
    </row>
    <row r="13" spans="1:8" x14ac:dyDescent="0.25">
      <c r="A13" s="68" t="s">
        <v>1</v>
      </c>
      <c r="B13" s="68"/>
      <c r="C13" s="68"/>
      <c r="D13" s="68"/>
      <c r="E13" s="68"/>
      <c r="F13" s="68"/>
      <c r="G13" s="68"/>
      <c r="H13" s="68"/>
    </row>
    <row r="14" spans="1:8" x14ac:dyDescent="0.25">
      <c r="B14" s="2"/>
      <c r="C14" s="2"/>
      <c r="D14" s="2"/>
      <c r="E14" s="2"/>
      <c r="F14" s="2"/>
      <c r="G14" s="2"/>
    </row>
    <row r="15" spans="1:8" x14ac:dyDescent="0.25">
      <c r="B15" s="2"/>
      <c r="C15" s="2"/>
      <c r="D15" s="2"/>
      <c r="F15" s="2"/>
      <c r="G15" s="2"/>
    </row>
    <row r="16" spans="1:8" x14ac:dyDescent="0.25">
      <c r="B16" s="35" t="s">
        <v>47</v>
      </c>
      <c r="C16" s="2"/>
      <c r="D16" s="2"/>
      <c r="E16" s="2"/>
      <c r="F16" s="2"/>
      <c r="G16" s="5" t="s">
        <v>50</v>
      </c>
    </row>
    <row r="17" spans="2:10" x14ac:dyDescent="0.25">
      <c r="B17" s="54" t="s">
        <v>48</v>
      </c>
      <c r="C17" s="2"/>
      <c r="E17" s="2"/>
      <c r="F17" s="2"/>
      <c r="G17" s="38">
        <v>0</v>
      </c>
    </row>
    <row r="18" spans="2:10" x14ac:dyDescent="0.25">
      <c r="B18" s="54" t="s">
        <v>49</v>
      </c>
      <c r="C18" s="2"/>
      <c r="E18" s="2"/>
      <c r="F18" s="2"/>
      <c r="G18" s="59">
        <f>19944134.18</f>
        <v>19944134.18</v>
      </c>
    </row>
    <row r="19" spans="2:10" x14ac:dyDescent="0.25">
      <c r="B19" s="8"/>
      <c r="C19" s="2"/>
      <c r="D19" s="2"/>
      <c r="E19" s="2"/>
      <c r="F19" s="2"/>
      <c r="G19" s="53">
        <f>SUM(G17:G18)</f>
        <v>19944134.18</v>
      </c>
    </row>
    <row r="20" spans="2:10" x14ac:dyDescent="0.25">
      <c r="B20" s="8"/>
      <c r="C20" s="2"/>
      <c r="D20" s="2"/>
      <c r="E20" s="2"/>
      <c r="F20" s="2"/>
      <c r="G20" s="9"/>
    </row>
    <row r="21" spans="2:10" x14ac:dyDescent="0.25">
      <c r="B21" s="35" t="s">
        <v>51</v>
      </c>
      <c r="C21" s="2"/>
      <c r="D21" s="2"/>
      <c r="E21" s="2"/>
      <c r="F21" s="2"/>
      <c r="G21" s="5" t="s">
        <v>53</v>
      </c>
    </row>
    <row r="22" spans="2:10" x14ac:dyDescent="0.25">
      <c r="B22" s="54" t="s">
        <v>52</v>
      </c>
      <c r="C22" s="2"/>
      <c r="E22" s="2"/>
      <c r="F22" s="2"/>
      <c r="G22" s="37">
        <f>213743.78</f>
        <v>213743.78</v>
      </c>
    </row>
    <row r="23" spans="2:10" x14ac:dyDescent="0.25">
      <c r="B23" s="54"/>
      <c r="C23" s="2"/>
      <c r="D23" s="2"/>
      <c r="E23" s="2"/>
      <c r="F23" s="2"/>
      <c r="G23" s="39">
        <f>SUM(G22:G22)</f>
        <v>213743.78</v>
      </c>
    </row>
    <row r="24" spans="2:10" x14ac:dyDescent="0.25">
      <c r="B24" s="54"/>
      <c r="C24" s="2"/>
      <c r="D24" s="2"/>
      <c r="E24" s="2"/>
      <c r="F24" s="2"/>
      <c r="G24" s="11"/>
    </row>
    <row r="25" spans="2:10" x14ac:dyDescent="0.25">
      <c r="B25" s="35" t="s">
        <v>54</v>
      </c>
      <c r="C25" s="2"/>
      <c r="D25" s="2"/>
      <c r="E25" s="2"/>
      <c r="F25" s="2"/>
      <c r="G25" s="5" t="s">
        <v>55</v>
      </c>
    </row>
    <row r="26" spans="2:10" x14ac:dyDescent="0.25">
      <c r="B26" s="54" t="s">
        <v>56</v>
      </c>
      <c r="C26" s="2"/>
      <c r="D26" s="2"/>
      <c r="E26" s="2"/>
      <c r="F26" s="2"/>
      <c r="G26" s="38">
        <v>1439277399.25</v>
      </c>
      <c r="I26" s="38"/>
      <c r="J26" s="38"/>
    </row>
    <row r="27" spans="2:10" x14ac:dyDescent="0.25">
      <c r="B27" s="54" t="s">
        <v>57</v>
      </c>
      <c r="C27" s="2"/>
      <c r="D27" s="2"/>
      <c r="E27" s="2"/>
      <c r="F27" s="2"/>
      <c r="G27" s="38">
        <f>23064753.69</f>
        <v>23064753.690000001</v>
      </c>
    </row>
    <row r="28" spans="2:10" x14ac:dyDescent="0.25">
      <c r="B28" s="54" t="s">
        <v>58</v>
      </c>
      <c r="C28" s="2"/>
      <c r="D28" s="2"/>
      <c r="E28" s="2"/>
      <c r="F28" s="2"/>
      <c r="G28" s="38">
        <f>618356.04</f>
        <v>618356.04</v>
      </c>
    </row>
    <row r="29" spans="2:10" x14ac:dyDescent="0.25">
      <c r="B29" s="54" t="s">
        <v>59</v>
      </c>
      <c r="C29" s="2"/>
      <c r="D29" s="2"/>
      <c r="E29" s="2"/>
      <c r="F29" s="2"/>
      <c r="G29" s="38">
        <f>102694232.45</f>
        <v>102694232.45</v>
      </c>
    </row>
    <row r="30" spans="2:10" x14ac:dyDescent="0.25">
      <c r="B30" s="54" t="s">
        <v>60</v>
      </c>
      <c r="C30" s="2"/>
      <c r="D30" s="2"/>
      <c r="E30" s="2"/>
      <c r="F30" s="2"/>
      <c r="G30" s="38">
        <f>96010686.98</f>
        <v>96010686.980000004</v>
      </c>
    </row>
    <row r="31" spans="2:10" x14ac:dyDescent="0.25">
      <c r="B31" s="54" t="s">
        <v>61</v>
      </c>
      <c r="C31" s="2"/>
      <c r="D31" s="2"/>
      <c r="E31" s="2"/>
      <c r="F31" s="2"/>
      <c r="G31" s="38">
        <v>163869.15</v>
      </c>
    </row>
    <row r="32" spans="2:10" x14ac:dyDescent="0.25">
      <c r="B32" s="54" t="s">
        <v>62</v>
      </c>
      <c r="C32" s="2"/>
      <c r="D32" s="2"/>
      <c r="E32" s="2"/>
      <c r="F32" s="2"/>
      <c r="G32" s="38">
        <v>168452570.38999999</v>
      </c>
      <c r="I32" s="38"/>
      <c r="J32" s="38"/>
    </row>
    <row r="33" spans="2:7" x14ac:dyDescent="0.25">
      <c r="B33" s="54" t="s">
        <v>63</v>
      </c>
      <c r="C33" s="2"/>
      <c r="D33" s="2"/>
      <c r="E33" s="2"/>
      <c r="F33" s="2"/>
      <c r="G33" s="59">
        <v>464065.88</v>
      </c>
    </row>
    <row r="34" spans="2:7" x14ac:dyDescent="0.25">
      <c r="B34" s="2"/>
      <c r="C34" s="2"/>
      <c r="D34" s="2"/>
      <c r="E34" s="2"/>
      <c r="F34" s="2"/>
      <c r="G34" s="41">
        <f>SUM(G26:G33)</f>
        <v>1830745933.8300004</v>
      </c>
    </row>
    <row r="35" spans="2:7" x14ac:dyDescent="0.25">
      <c r="B35" s="2"/>
      <c r="C35" s="2"/>
      <c r="D35" s="2"/>
      <c r="E35" s="2"/>
      <c r="F35" s="2"/>
      <c r="G35" s="9"/>
    </row>
    <row r="36" spans="2:7" x14ac:dyDescent="0.25">
      <c r="B36" s="35" t="s">
        <v>73</v>
      </c>
      <c r="C36" s="2"/>
      <c r="D36" s="2"/>
      <c r="E36" s="2"/>
      <c r="F36" s="2"/>
      <c r="G36" s="5" t="s">
        <v>64</v>
      </c>
    </row>
    <row r="37" spans="2:7" x14ac:dyDescent="0.25">
      <c r="B37" s="54" t="s">
        <v>65</v>
      </c>
      <c r="C37" s="2"/>
      <c r="D37" s="2"/>
      <c r="E37" s="2"/>
      <c r="F37" s="2"/>
      <c r="G37" s="38">
        <v>-183579889.64000002</v>
      </c>
    </row>
    <row r="38" spans="2:7" x14ac:dyDescent="0.25">
      <c r="B38" s="54" t="s">
        <v>66</v>
      </c>
      <c r="C38" s="2"/>
      <c r="D38" s="2"/>
      <c r="E38" s="2"/>
      <c r="F38" s="2"/>
      <c r="G38" s="38">
        <v>-8339966.6200000001</v>
      </c>
    </row>
    <row r="39" spans="2:7" x14ac:dyDescent="0.25">
      <c r="B39" s="54" t="s">
        <v>67</v>
      </c>
      <c r="C39" s="2"/>
      <c r="D39" s="2"/>
      <c r="E39" s="2"/>
      <c r="F39" s="2"/>
      <c r="G39" s="38">
        <v>-91615717.650000006</v>
      </c>
    </row>
    <row r="40" spans="2:7" x14ac:dyDescent="0.25">
      <c r="B40" s="54" t="s">
        <v>68</v>
      </c>
      <c r="C40" s="2"/>
      <c r="D40" s="2"/>
      <c r="E40" s="2"/>
      <c r="F40" s="2"/>
      <c r="G40" s="38">
        <v>-316619371.29000002</v>
      </c>
    </row>
    <row r="41" spans="2:7" x14ac:dyDescent="0.25">
      <c r="B41" s="54" t="s">
        <v>69</v>
      </c>
      <c r="C41" s="2"/>
      <c r="D41" s="2"/>
      <c r="E41" s="2"/>
      <c r="F41" s="2"/>
      <c r="G41" s="38">
        <v>-673043.17</v>
      </c>
    </row>
    <row r="42" spans="2:7" x14ac:dyDescent="0.25">
      <c r="B42" s="54" t="s">
        <v>70</v>
      </c>
      <c r="C42" s="2"/>
      <c r="D42" s="2"/>
      <c r="E42" s="2"/>
      <c r="F42" s="2"/>
      <c r="G42" s="38">
        <v>-9402605.1500000004</v>
      </c>
    </row>
    <row r="43" spans="2:7" x14ac:dyDescent="0.25">
      <c r="B43" s="54" t="s">
        <v>71</v>
      </c>
      <c r="C43" s="2"/>
      <c r="D43" s="2"/>
      <c r="E43" s="2"/>
      <c r="F43" s="2"/>
      <c r="G43" s="38">
        <v>-12739394.49</v>
      </c>
    </row>
    <row r="44" spans="2:7" x14ac:dyDescent="0.25">
      <c r="B44" s="54" t="s">
        <v>72</v>
      </c>
      <c r="C44" s="2"/>
      <c r="D44" s="2"/>
      <c r="E44" s="2"/>
      <c r="F44" s="2"/>
      <c r="G44" s="59">
        <v>-60112815.580000006</v>
      </c>
    </row>
    <row r="45" spans="2:7" x14ac:dyDescent="0.25">
      <c r="B45" s="19"/>
      <c r="C45" s="2"/>
      <c r="D45" s="2"/>
      <c r="E45" s="2"/>
      <c r="F45" s="2"/>
      <c r="G45" s="42">
        <f>SUM(G37:G44)</f>
        <v>-683082803.59000003</v>
      </c>
    </row>
    <row r="46" spans="2:7" x14ac:dyDescent="0.25">
      <c r="B46" s="19"/>
      <c r="C46" s="2"/>
      <c r="D46" s="2"/>
      <c r="E46" s="2"/>
      <c r="F46" s="2"/>
      <c r="G46" s="14"/>
    </row>
    <row r="48" spans="2:7" x14ac:dyDescent="0.25">
      <c r="B48" s="35" t="s">
        <v>75</v>
      </c>
      <c r="C48" s="2"/>
      <c r="D48" s="2"/>
      <c r="E48" s="2"/>
      <c r="F48" s="2"/>
      <c r="G48" s="5" t="s">
        <v>74</v>
      </c>
    </row>
    <row r="49" spans="2:12" x14ac:dyDescent="0.25">
      <c r="B49" s="54" t="s">
        <v>76</v>
      </c>
      <c r="C49" s="2"/>
      <c r="D49" s="2"/>
      <c r="E49" s="2"/>
      <c r="F49" s="2"/>
      <c r="G49" s="37">
        <f>223854781.03</f>
        <v>223854781.03</v>
      </c>
    </row>
    <row r="50" spans="2:12" x14ac:dyDescent="0.25">
      <c r="B50" s="19"/>
      <c r="C50" s="2"/>
      <c r="D50" s="2"/>
      <c r="E50" s="2"/>
      <c r="F50" s="2"/>
      <c r="G50" s="39">
        <f>SUM(G49)</f>
        <v>223854781.03</v>
      </c>
    </row>
    <row r="55" spans="2:12" x14ac:dyDescent="0.25">
      <c r="C55" s="2"/>
      <c r="D55" s="2"/>
      <c r="E55" s="2"/>
      <c r="F55" s="2"/>
      <c r="G55" s="14"/>
    </row>
    <row r="56" spans="2:12" x14ac:dyDescent="0.25">
      <c r="B56" s="44" t="s">
        <v>77</v>
      </c>
      <c r="C56" s="2"/>
      <c r="D56" s="2"/>
      <c r="E56" s="2"/>
      <c r="F56" s="2"/>
      <c r="G56" s="5" t="s">
        <v>78</v>
      </c>
    </row>
    <row r="57" spans="2:12" x14ac:dyDescent="0.25">
      <c r="B57" s="54" t="s">
        <v>79</v>
      </c>
      <c r="C57" s="2"/>
      <c r="D57" s="2"/>
      <c r="E57" s="2"/>
      <c r="F57" s="2"/>
      <c r="G57" s="37">
        <f>6624541.33</f>
        <v>6624541.3300000001</v>
      </c>
    </row>
    <row r="58" spans="2:12" x14ac:dyDescent="0.25">
      <c r="B58" s="19"/>
      <c r="C58" s="2"/>
      <c r="D58" s="2"/>
      <c r="E58" s="2"/>
      <c r="F58" s="2"/>
      <c r="G58" s="45">
        <f>SUM(G57)</f>
        <v>6624541.3300000001</v>
      </c>
    </row>
    <row r="59" spans="2:12" x14ac:dyDescent="0.25">
      <c r="B59" s="19"/>
      <c r="C59" s="2"/>
      <c r="D59" s="2"/>
      <c r="E59" s="2"/>
      <c r="F59" s="2"/>
      <c r="G59" s="14"/>
    </row>
    <row r="60" spans="2:12" x14ac:dyDescent="0.25">
      <c r="B60" s="19"/>
      <c r="C60" s="2"/>
      <c r="D60" s="2"/>
      <c r="E60" s="2"/>
      <c r="F60" s="2"/>
      <c r="G60" s="14"/>
    </row>
    <row r="61" spans="2:12" x14ac:dyDescent="0.25">
      <c r="B61" s="44" t="s">
        <v>18</v>
      </c>
      <c r="C61" s="2"/>
      <c r="D61" s="2"/>
      <c r="E61" s="2"/>
      <c r="F61" s="2"/>
      <c r="G61" s="5" t="s">
        <v>80</v>
      </c>
    </row>
    <row r="62" spans="2:12" x14ac:dyDescent="0.25">
      <c r="B62" s="19"/>
      <c r="C62" s="2"/>
      <c r="D62" s="2"/>
      <c r="E62" s="2"/>
      <c r="F62" s="2"/>
      <c r="G62" s="14"/>
    </row>
    <row r="63" spans="2:12" x14ac:dyDescent="0.25">
      <c r="B63" s="19"/>
      <c r="C63" s="2"/>
      <c r="D63" s="2"/>
      <c r="E63" s="2"/>
      <c r="F63" s="2"/>
      <c r="G63" s="14"/>
    </row>
    <row r="64" spans="2:12" x14ac:dyDescent="0.25">
      <c r="B64" s="35" t="s">
        <v>85</v>
      </c>
      <c r="C64" s="2"/>
      <c r="D64" s="2"/>
      <c r="E64" s="2"/>
      <c r="F64" s="2"/>
      <c r="G64" s="5" t="s">
        <v>81</v>
      </c>
      <c r="J64" s="46"/>
      <c r="L64" s="46"/>
    </row>
    <row r="65" spans="2:12" x14ac:dyDescent="0.25">
      <c r="B65" s="54" t="s">
        <v>82</v>
      </c>
      <c r="C65" s="2"/>
      <c r="D65" s="2"/>
      <c r="E65" s="2"/>
      <c r="F65" s="2"/>
      <c r="G65" s="38">
        <v>30085107.350000009</v>
      </c>
      <c r="J65" s="46"/>
      <c r="L65" s="46"/>
    </row>
    <row r="66" spans="2:12" x14ac:dyDescent="0.25">
      <c r="B66" s="54" t="s">
        <v>83</v>
      </c>
      <c r="C66" s="2"/>
      <c r="D66" s="2"/>
      <c r="E66" s="2"/>
      <c r="F66" s="2"/>
      <c r="G66" s="38">
        <v>20310400.649999917</v>
      </c>
      <c r="J66" s="46"/>
    </row>
    <row r="67" spans="2:12" x14ac:dyDescent="0.25">
      <c r="B67" s="54" t="s">
        <v>84</v>
      </c>
      <c r="C67" s="2"/>
      <c r="D67" s="2"/>
      <c r="E67" s="2"/>
      <c r="F67" s="2"/>
      <c r="G67" s="38">
        <v>41222503.950000003</v>
      </c>
    </row>
    <row r="68" spans="2:12" x14ac:dyDescent="0.25">
      <c r="B68" s="54" t="s">
        <v>147</v>
      </c>
      <c r="C68" s="2"/>
      <c r="D68" s="2"/>
      <c r="E68" s="2"/>
      <c r="F68" s="2"/>
      <c r="G68" s="59">
        <v>845723673.88999999</v>
      </c>
      <c r="I68" s="38"/>
    </row>
    <row r="69" spans="2:12" x14ac:dyDescent="0.25">
      <c r="B69" s="19"/>
      <c r="C69" s="2"/>
      <c r="D69" s="2"/>
      <c r="E69" s="2"/>
      <c r="F69" s="2"/>
      <c r="G69" s="9">
        <f>SUM(G65:G68)</f>
        <v>937341685.83999991</v>
      </c>
      <c r="J69" s="38"/>
    </row>
    <row r="70" spans="2:12" x14ac:dyDescent="0.25">
      <c r="B70" s="19"/>
      <c r="C70" s="2"/>
      <c r="D70" s="2"/>
      <c r="E70" s="2"/>
      <c r="F70" s="2"/>
      <c r="G70" s="20"/>
    </row>
    <row r="73" spans="2:12" x14ac:dyDescent="0.25">
      <c r="B73" s="4" t="s">
        <v>90</v>
      </c>
      <c r="C73" s="2"/>
      <c r="D73" s="2"/>
      <c r="E73" s="2"/>
      <c r="G73" s="5" t="s">
        <v>92</v>
      </c>
    </row>
    <row r="74" spans="2:12" x14ac:dyDescent="0.25">
      <c r="B74" s="54" t="s">
        <v>91</v>
      </c>
      <c r="C74" s="2"/>
      <c r="E74" s="2"/>
      <c r="G74" s="38">
        <f>5053460063.47</f>
        <v>5053460063.4700003</v>
      </c>
    </row>
    <row r="75" spans="2:12" x14ac:dyDescent="0.25">
      <c r="B75" s="54" t="s">
        <v>34</v>
      </c>
      <c r="C75" s="2"/>
      <c r="E75" s="2"/>
      <c r="G75" s="36">
        <v>0</v>
      </c>
    </row>
    <row r="76" spans="2:12" x14ac:dyDescent="0.25">
      <c r="B76" s="8"/>
      <c r="C76" s="2"/>
      <c r="D76" s="2"/>
      <c r="E76" s="2"/>
      <c r="G76" s="40">
        <f>SUM(G74:G75)</f>
        <v>5053460063.4700003</v>
      </c>
      <c r="J76" s="46"/>
    </row>
    <row r="81" spans="1:13" x14ac:dyDescent="0.25">
      <c r="A81" s="55"/>
      <c r="B81" s="55" t="s">
        <v>86</v>
      </c>
      <c r="G81" s="5" t="s">
        <v>93</v>
      </c>
    </row>
    <row r="82" spans="1:13" x14ac:dyDescent="0.25">
      <c r="A82" s="49"/>
      <c r="B82" s="54" t="s">
        <v>95</v>
      </c>
      <c r="G82" s="38">
        <f>87344247.61</f>
        <v>87344247.609999999</v>
      </c>
    </row>
    <row r="83" spans="1:13" x14ac:dyDescent="0.25">
      <c r="B83" s="54" t="s">
        <v>96</v>
      </c>
      <c r="G83" s="38">
        <f>94507744.17</f>
        <v>94507744.170000002</v>
      </c>
    </row>
    <row r="84" spans="1:13" x14ac:dyDescent="0.25">
      <c r="B84" s="54" t="s">
        <v>182</v>
      </c>
      <c r="G84" s="38">
        <f>163766282.38</f>
        <v>163766282.38</v>
      </c>
    </row>
    <row r="85" spans="1:13" x14ac:dyDescent="0.25">
      <c r="B85" s="54" t="s">
        <v>97</v>
      </c>
      <c r="G85" s="38">
        <f>10677302.67</f>
        <v>10677302.67</v>
      </c>
    </row>
    <row r="86" spans="1:13" x14ac:dyDescent="0.25">
      <c r="B86" s="54" t="s">
        <v>98</v>
      </c>
      <c r="G86" s="62">
        <f>3886213.71</f>
        <v>3886213.71</v>
      </c>
      <c r="M86" s="50"/>
    </row>
    <row r="87" spans="1:13" x14ac:dyDescent="0.25">
      <c r="B87" s="54" t="s">
        <v>99</v>
      </c>
      <c r="C87" s="38"/>
      <c r="G87" s="38">
        <f>140000</f>
        <v>140000</v>
      </c>
    </row>
    <row r="88" spans="1:13" x14ac:dyDescent="0.25">
      <c r="B88" s="54" t="s">
        <v>100</v>
      </c>
      <c r="G88" s="62">
        <f>6327730</f>
        <v>6327730</v>
      </c>
    </row>
    <row r="89" spans="1:13" x14ac:dyDescent="0.25">
      <c r="B89" s="60" t="s">
        <v>161</v>
      </c>
      <c r="G89" s="38">
        <v>0</v>
      </c>
    </row>
    <row r="90" spans="1:13" x14ac:dyDescent="0.25">
      <c r="B90" s="60" t="s">
        <v>207</v>
      </c>
      <c r="G90" s="38">
        <v>0</v>
      </c>
    </row>
    <row r="91" spans="1:13" x14ac:dyDescent="0.25">
      <c r="B91" s="60" t="s">
        <v>175</v>
      </c>
      <c r="G91" s="38">
        <v>0</v>
      </c>
    </row>
    <row r="92" spans="1:13" x14ac:dyDescent="0.25">
      <c r="B92" s="60" t="s">
        <v>183</v>
      </c>
      <c r="G92" s="38">
        <f>68596216.03</f>
        <v>68596216.030000001</v>
      </c>
    </row>
    <row r="93" spans="1:13" x14ac:dyDescent="0.25">
      <c r="B93" s="54" t="s">
        <v>101</v>
      </c>
      <c r="G93" s="38">
        <f>11390056.8</f>
        <v>11390056.800000001</v>
      </c>
    </row>
    <row r="94" spans="1:13" x14ac:dyDescent="0.25">
      <c r="B94" s="54" t="s">
        <v>102</v>
      </c>
      <c r="G94" s="38">
        <f>11426298.43</f>
        <v>11426298.43</v>
      </c>
    </row>
    <row r="95" spans="1:13" x14ac:dyDescent="0.25">
      <c r="B95" s="54" t="s">
        <v>103</v>
      </c>
      <c r="G95" s="38">
        <f>1705568.83</f>
        <v>1705568.83</v>
      </c>
    </row>
    <row r="96" spans="1:13" x14ac:dyDescent="0.25">
      <c r="G96" s="40">
        <f>G82+G83+G84+G85+G86+G87+G88+G89+G90+G91+G92+G93+G94+G95</f>
        <v>459767660.62999994</v>
      </c>
      <c r="I96" s="38">
        <v>0</v>
      </c>
      <c r="J96" s="46">
        <f>G96-I96</f>
        <v>459767660.62999994</v>
      </c>
    </row>
    <row r="99" spans="1:12" x14ac:dyDescent="0.25">
      <c r="H99" s="24"/>
      <c r="L99" s="46"/>
    </row>
    <row r="100" spans="1:12" x14ac:dyDescent="0.25">
      <c r="H100" s="26"/>
    </row>
    <row r="101" spans="1:12" x14ac:dyDescent="0.25">
      <c r="H101" s="28"/>
    </row>
    <row r="102" spans="1:12" x14ac:dyDescent="0.25">
      <c r="H102" s="24"/>
    </row>
    <row r="103" spans="1:12" x14ac:dyDescent="0.25">
      <c r="H103" s="24"/>
    </row>
    <row r="104" spans="1:12" x14ac:dyDescent="0.25">
      <c r="H104" s="24"/>
    </row>
    <row r="105" spans="1:12" x14ac:dyDescent="0.25">
      <c r="H105" s="24"/>
    </row>
    <row r="106" spans="1:12" x14ac:dyDescent="0.25">
      <c r="H106" s="29"/>
    </row>
    <row r="107" spans="1:12" x14ac:dyDescent="0.25">
      <c r="A107" s="48"/>
      <c r="B107" s="48" t="s">
        <v>87</v>
      </c>
      <c r="C107" s="38"/>
      <c r="E107" s="46"/>
      <c r="G107" s="5" t="s">
        <v>94</v>
      </c>
      <c r="H107" s="29"/>
    </row>
    <row r="108" spans="1:12" x14ac:dyDescent="0.25">
      <c r="A108" s="64"/>
      <c r="B108" s="7" t="s">
        <v>184</v>
      </c>
      <c r="C108" s="38"/>
      <c r="E108" s="46"/>
      <c r="G108" s="38"/>
      <c r="H108" s="29"/>
    </row>
    <row r="109" spans="1:12" x14ac:dyDescent="0.25">
      <c r="A109" s="49"/>
      <c r="B109" s="54" t="s">
        <v>178</v>
      </c>
      <c r="C109" s="38"/>
      <c r="E109" s="46"/>
      <c r="G109" s="38"/>
      <c r="H109" s="29"/>
    </row>
    <row r="110" spans="1:12" x14ac:dyDescent="0.25">
      <c r="A110" s="55"/>
      <c r="B110" s="54" t="s">
        <v>104</v>
      </c>
      <c r="G110" s="38">
        <f>6787850.3</f>
        <v>6787850.2999999998</v>
      </c>
      <c r="H110" s="29"/>
    </row>
    <row r="111" spans="1:12" x14ac:dyDescent="0.25">
      <c r="A111" s="55"/>
      <c r="B111" s="54" t="s">
        <v>105</v>
      </c>
      <c r="G111" s="38">
        <f>3447484.04</f>
        <v>3447484.04</v>
      </c>
      <c r="H111" s="29"/>
    </row>
    <row r="112" spans="1:12" x14ac:dyDescent="0.25">
      <c r="A112" s="55"/>
      <c r="B112" s="54" t="s">
        <v>106</v>
      </c>
      <c r="G112" s="38">
        <f>3588146.07</f>
        <v>3588146.07</v>
      </c>
      <c r="H112" s="29"/>
    </row>
    <row r="113" spans="1:9" x14ac:dyDescent="0.25">
      <c r="A113" s="55"/>
      <c r="B113" s="54" t="s">
        <v>107</v>
      </c>
      <c r="G113" s="38">
        <v>0</v>
      </c>
      <c r="H113" s="29"/>
    </row>
    <row r="114" spans="1:9" x14ac:dyDescent="0.25">
      <c r="A114" s="55"/>
      <c r="B114" s="54" t="s">
        <v>169</v>
      </c>
      <c r="G114" s="38">
        <v>0</v>
      </c>
      <c r="H114" s="29"/>
      <c r="I114" s="38"/>
    </row>
    <row r="115" spans="1:9" x14ac:dyDescent="0.25">
      <c r="A115" s="55"/>
      <c r="B115" s="54" t="s">
        <v>108</v>
      </c>
      <c r="G115" s="38">
        <f>7353377.78</f>
        <v>7353377.7800000003</v>
      </c>
      <c r="H115" s="29"/>
      <c r="I115" s="38"/>
    </row>
    <row r="116" spans="1:9" x14ac:dyDescent="0.25">
      <c r="A116" s="55"/>
      <c r="B116" s="54" t="s">
        <v>109</v>
      </c>
      <c r="G116" s="38">
        <f>226298</f>
        <v>226298</v>
      </c>
      <c r="H116" s="29"/>
    </row>
    <row r="117" spans="1:9" x14ac:dyDescent="0.25">
      <c r="A117" s="55"/>
      <c r="B117" s="60" t="s">
        <v>110</v>
      </c>
      <c r="G117" s="38">
        <f>43544196.3</f>
        <v>43544196.299999997</v>
      </c>
      <c r="H117" s="29"/>
    </row>
    <row r="118" spans="1:9" x14ac:dyDescent="0.25">
      <c r="A118" s="55"/>
      <c r="B118" s="60" t="s">
        <v>202</v>
      </c>
      <c r="G118" s="38">
        <f>195692</f>
        <v>195692</v>
      </c>
      <c r="H118" s="29"/>
    </row>
    <row r="119" spans="1:9" x14ac:dyDescent="0.25">
      <c r="A119" s="55"/>
      <c r="B119" s="54" t="s">
        <v>111</v>
      </c>
      <c r="G119" s="38">
        <f>352387.76</f>
        <v>352387.76</v>
      </c>
      <c r="H119" s="29"/>
    </row>
    <row r="120" spans="1:9" x14ac:dyDescent="0.25">
      <c r="A120" s="55"/>
      <c r="B120" s="54" t="s">
        <v>204</v>
      </c>
      <c r="G120" s="38">
        <v>0</v>
      </c>
      <c r="H120" s="29"/>
    </row>
    <row r="121" spans="1:9" x14ac:dyDescent="0.25">
      <c r="A121" s="55"/>
      <c r="B121" s="54" t="s">
        <v>112</v>
      </c>
      <c r="G121" s="38">
        <f>420</f>
        <v>420</v>
      </c>
      <c r="H121" s="29"/>
    </row>
    <row r="122" spans="1:9" x14ac:dyDescent="0.25">
      <c r="A122" s="55"/>
      <c r="B122" s="54" t="s">
        <v>113</v>
      </c>
      <c r="G122" s="38">
        <f>6369561.72</f>
        <v>6369561.7199999997</v>
      </c>
      <c r="H122" s="26"/>
    </row>
    <row r="123" spans="1:9" x14ac:dyDescent="0.25">
      <c r="A123" s="55"/>
      <c r="B123" s="54" t="s">
        <v>114</v>
      </c>
      <c r="G123" s="38">
        <f>1019357</f>
        <v>1019357</v>
      </c>
      <c r="H123" s="28"/>
    </row>
    <row r="124" spans="1:9" x14ac:dyDescent="0.25">
      <c r="A124" s="55"/>
      <c r="B124" s="54" t="s">
        <v>115</v>
      </c>
      <c r="G124" s="38">
        <v>0</v>
      </c>
      <c r="H124" s="24"/>
    </row>
    <row r="125" spans="1:9" x14ac:dyDescent="0.25">
      <c r="A125" s="55"/>
      <c r="B125" s="54" t="s">
        <v>158</v>
      </c>
      <c r="G125" s="38">
        <f>6609788.35</f>
        <v>6609788.3499999996</v>
      </c>
      <c r="H125" s="26"/>
    </row>
    <row r="126" spans="1:9" x14ac:dyDescent="0.25">
      <c r="A126" s="55"/>
      <c r="B126" s="54" t="s">
        <v>185</v>
      </c>
      <c r="G126" s="38">
        <v>0</v>
      </c>
      <c r="H126" s="26"/>
    </row>
    <row r="127" spans="1:9" x14ac:dyDescent="0.25">
      <c r="A127" s="55"/>
      <c r="B127" s="54" t="s">
        <v>159</v>
      </c>
      <c r="G127" s="38">
        <v>0</v>
      </c>
      <c r="H127" s="28"/>
    </row>
    <row r="128" spans="1:9" x14ac:dyDescent="0.25">
      <c r="A128" s="55"/>
      <c r="B128" s="54" t="s">
        <v>160</v>
      </c>
      <c r="G128" s="38">
        <v>0</v>
      </c>
      <c r="H128" s="24"/>
    </row>
    <row r="129" spans="1:8" x14ac:dyDescent="0.25">
      <c r="A129" s="55"/>
      <c r="B129" s="54" t="s">
        <v>170</v>
      </c>
      <c r="G129" s="38">
        <v>0</v>
      </c>
      <c r="H129" s="24"/>
    </row>
    <row r="130" spans="1:8" x14ac:dyDescent="0.25">
      <c r="A130" s="55"/>
      <c r="B130" s="54" t="s">
        <v>116</v>
      </c>
      <c r="G130" s="38">
        <f>51549.59</f>
        <v>51549.59</v>
      </c>
      <c r="H130" s="24"/>
    </row>
    <row r="131" spans="1:8" x14ac:dyDescent="0.25">
      <c r="A131" s="55"/>
      <c r="B131" s="60" t="s">
        <v>117</v>
      </c>
      <c r="G131" s="38">
        <f>3201054.07</f>
        <v>3201054.07</v>
      </c>
      <c r="H131" s="24"/>
    </row>
    <row r="132" spans="1:8" x14ac:dyDescent="0.25">
      <c r="A132" s="55"/>
      <c r="B132" s="60" t="s">
        <v>171</v>
      </c>
      <c r="G132" s="38">
        <v>0</v>
      </c>
      <c r="H132" s="24"/>
    </row>
    <row r="133" spans="1:8" x14ac:dyDescent="0.25">
      <c r="A133" s="55"/>
      <c r="B133" s="54" t="s">
        <v>118</v>
      </c>
      <c r="G133" s="38">
        <f>4875435.32</f>
        <v>4875435.32</v>
      </c>
      <c r="H133" s="24"/>
    </row>
    <row r="134" spans="1:8" x14ac:dyDescent="0.25">
      <c r="A134" s="55"/>
      <c r="B134" s="54" t="s">
        <v>119</v>
      </c>
      <c r="G134" s="38">
        <f>2320833.91</f>
        <v>2320833.91</v>
      </c>
      <c r="H134" s="24"/>
    </row>
    <row r="135" spans="1:8" x14ac:dyDescent="0.25">
      <c r="A135" s="55"/>
      <c r="B135" s="54" t="s">
        <v>120</v>
      </c>
      <c r="G135" s="38">
        <v>0</v>
      </c>
      <c r="H135" s="24"/>
    </row>
    <row r="136" spans="1:8" x14ac:dyDescent="0.25">
      <c r="A136" s="55"/>
      <c r="B136" s="54" t="s">
        <v>176</v>
      </c>
      <c r="G136" s="38">
        <v>0</v>
      </c>
      <c r="H136" s="24"/>
    </row>
    <row r="137" spans="1:8" x14ac:dyDescent="0.25">
      <c r="A137" s="55"/>
      <c r="B137" s="54" t="s">
        <v>186</v>
      </c>
      <c r="G137" s="38">
        <v>0</v>
      </c>
      <c r="H137" s="24"/>
    </row>
    <row r="138" spans="1:8" x14ac:dyDescent="0.25">
      <c r="A138" s="55"/>
      <c r="B138" s="54" t="s">
        <v>187</v>
      </c>
      <c r="G138" s="38">
        <v>0</v>
      </c>
      <c r="H138" s="24"/>
    </row>
    <row r="139" spans="1:8" x14ac:dyDescent="0.25">
      <c r="A139" s="55"/>
      <c r="B139" s="54" t="s">
        <v>203</v>
      </c>
      <c r="G139" s="38">
        <v>0</v>
      </c>
      <c r="H139" s="24"/>
    </row>
    <row r="140" spans="1:8" x14ac:dyDescent="0.25">
      <c r="A140" s="55"/>
      <c r="B140" s="54" t="s">
        <v>121</v>
      </c>
      <c r="G140" s="38">
        <f>28787.8</f>
        <v>28787.8</v>
      </c>
      <c r="H140" s="24"/>
    </row>
    <row r="141" spans="1:8" x14ac:dyDescent="0.25">
      <c r="A141" s="55"/>
      <c r="B141" s="54" t="s">
        <v>188</v>
      </c>
      <c r="G141" s="38">
        <v>0</v>
      </c>
      <c r="H141" s="24"/>
    </row>
    <row r="142" spans="1:8" x14ac:dyDescent="0.25">
      <c r="A142" s="55"/>
      <c r="B142" s="54" t="s">
        <v>122</v>
      </c>
      <c r="G142" s="38">
        <f>2795285.88</f>
        <v>2795285.88</v>
      </c>
      <c r="H142" s="24"/>
    </row>
    <row r="143" spans="1:8" x14ac:dyDescent="0.25">
      <c r="A143" s="55"/>
      <c r="B143" s="54" t="s">
        <v>172</v>
      </c>
      <c r="G143" s="38">
        <v>0</v>
      </c>
      <c r="H143" s="24"/>
    </row>
    <row r="144" spans="1:8" x14ac:dyDescent="0.25">
      <c r="A144" s="55"/>
      <c r="B144" s="54" t="s">
        <v>189</v>
      </c>
      <c r="G144" s="38">
        <f>320852.6</f>
        <v>320852.59999999998</v>
      </c>
      <c r="H144" s="24"/>
    </row>
    <row r="145" spans="1:10" x14ac:dyDescent="0.25">
      <c r="A145" s="55"/>
      <c r="B145" s="54" t="s">
        <v>123</v>
      </c>
      <c r="G145" s="38">
        <f>1286.37</f>
        <v>1286.3699999999999</v>
      </c>
      <c r="H145" s="24"/>
    </row>
    <row r="146" spans="1:10" x14ac:dyDescent="0.25">
      <c r="A146" s="55"/>
      <c r="B146" s="54" t="s">
        <v>173</v>
      </c>
      <c r="G146" s="38">
        <f>82908.36</f>
        <v>82908.36</v>
      </c>
      <c r="H146" s="24"/>
    </row>
    <row r="147" spans="1:10" x14ac:dyDescent="0.25">
      <c r="A147" s="55"/>
      <c r="B147" s="54" t="s">
        <v>124</v>
      </c>
      <c r="G147" s="38">
        <f>6436560.01</f>
        <v>6436560.0099999998</v>
      </c>
      <c r="H147" s="24"/>
    </row>
    <row r="148" spans="1:10" x14ac:dyDescent="0.25">
      <c r="A148" s="55"/>
      <c r="B148" s="54" t="s">
        <v>177</v>
      </c>
      <c r="G148" s="38">
        <v>0</v>
      </c>
      <c r="H148" s="24"/>
    </row>
    <row r="149" spans="1:10" x14ac:dyDescent="0.25">
      <c r="A149" s="55"/>
      <c r="B149" s="54" t="s">
        <v>125</v>
      </c>
      <c r="G149" s="38">
        <f>1158358.8</f>
        <v>1158358.8</v>
      </c>
      <c r="H149" s="24"/>
    </row>
    <row r="150" spans="1:10" x14ac:dyDescent="0.25">
      <c r="A150" s="55"/>
      <c r="B150" s="54" t="s">
        <v>206</v>
      </c>
      <c r="G150" s="38">
        <v>0</v>
      </c>
      <c r="H150" s="24"/>
    </row>
    <row r="151" spans="1:10" x14ac:dyDescent="0.25">
      <c r="A151" s="55"/>
      <c r="B151" s="54" t="s">
        <v>126</v>
      </c>
      <c r="G151" s="38">
        <f>60257.1</f>
        <v>60257.1</v>
      </c>
      <c r="H151" s="24"/>
    </row>
    <row r="152" spans="1:10" x14ac:dyDescent="0.25">
      <c r="A152" s="55"/>
      <c r="B152" s="60" t="s">
        <v>167</v>
      </c>
      <c r="G152" s="38">
        <f>234900</f>
        <v>234900</v>
      </c>
      <c r="H152" s="24"/>
    </row>
    <row r="153" spans="1:10" x14ac:dyDescent="0.25">
      <c r="A153" s="55"/>
      <c r="B153" s="54" t="s">
        <v>127</v>
      </c>
      <c r="G153" s="38">
        <f>2809601.7</f>
        <v>2809601.7</v>
      </c>
      <c r="H153" s="24"/>
    </row>
    <row r="154" spans="1:10" x14ac:dyDescent="0.25">
      <c r="A154" s="55"/>
      <c r="B154" s="54" t="s">
        <v>128</v>
      </c>
      <c r="G154" s="38">
        <f>177000</f>
        <v>177000</v>
      </c>
      <c r="H154" s="24"/>
    </row>
    <row r="155" spans="1:10" x14ac:dyDescent="0.25">
      <c r="A155" s="55"/>
      <c r="B155" s="54" t="s">
        <v>129</v>
      </c>
      <c r="G155" s="38">
        <f>6936522.96</f>
        <v>6936522.96</v>
      </c>
      <c r="H155" s="26"/>
    </row>
    <row r="156" spans="1:10" x14ac:dyDescent="0.25">
      <c r="A156" s="55"/>
      <c r="C156" s="10"/>
      <c r="E156" s="16"/>
      <c r="G156" s="40">
        <f>SUM(G108:G155)</f>
        <v>110985753.78999996</v>
      </c>
      <c r="H156" s="28"/>
      <c r="I156" s="38">
        <v>0</v>
      </c>
      <c r="J156" s="46">
        <f>G156-I156</f>
        <v>110985753.78999996</v>
      </c>
    </row>
    <row r="157" spans="1:10" x14ac:dyDescent="0.25">
      <c r="A157" s="55"/>
    </row>
    <row r="158" spans="1:10" x14ac:dyDescent="0.25">
      <c r="A158" s="55"/>
    </row>
    <row r="159" spans="1:10" x14ac:dyDescent="0.25">
      <c r="A159" s="55"/>
      <c r="I159" s="38"/>
      <c r="J159" s="46"/>
    </row>
    <row r="160" spans="1:10" x14ac:dyDescent="0.25">
      <c r="A160" s="55"/>
      <c r="H160" s="24"/>
    </row>
    <row r="161" spans="1:8" x14ac:dyDescent="0.25">
      <c r="A161" s="55"/>
      <c r="H161" s="26"/>
    </row>
    <row r="162" spans="1:8" x14ac:dyDescent="0.25">
      <c r="A162" s="55"/>
      <c r="H162" s="28"/>
    </row>
    <row r="163" spans="1:8" x14ac:dyDescent="0.25">
      <c r="A163" s="55"/>
      <c r="H163" s="24"/>
    </row>
    <row r="164" spans="1:8" x14ac:dyDescent="0.25">
      <c r="A164" s="55"/>
      <c r="B164" s="48" t="s">
        <v>88</v>
      </c>
      <c r="C164" s="16"/>
      <c r="G164" s="5" t="s">
        <v>130</v>
      </c>
      <c r="H164" s="24"/>
    </row>
    <row r="165" spans="1:8" x14ac:dyDescent="0.25">
      <c r="A165" s="55"/>
      <c r="B165" s="54" t="s">
        <v>131</v>
      </c>
      <c r="G165" s="38">
        <f>17854886.57</f>
        <v>17854886.57</v>
      </c>
      <c r="H165" s="24"/>
    </row>
    <row r="166" spans="1:8" x14ac:dyDescent="0.25">
      <c r="A166" s="55"/>
      <c r="B166" s="54" t="s">
        <v>132</v>
      </c>
      <c r="G166" s="38">
        <f>28819.95</f>
        <v>28819.95</v>
      </c>
      <c r="H166" s="24"/>
    </row>
    <row r="167" spans="1:8" x14ac:dyDescent="0.25">
      <c r="A167" s="55"/>
      <c r="B167" s="54" t="s">
        <v>216</v>
      </c>
      <c r="G167" s="38">
        <f>6478.2</f>
        <v>6478.2</v>
      </c>
      <c r="H167" s="24"/>
    </row>
    <row r="168" spans="1:8" x14ac:dyDescent="0.25">
      <c r="A168" s="55"/>
      <c r="B168" s="54" t="s">
        <v>212</v>
      </c>
      <c r="G168" s="38">
        <v>0</v>
      </c>
    </row>
    <row r="169" spans="1:8" x14ac:dyDescent="0.25">
      <c r="A169" s="55"/>
      <c r="B169" s="54" t="s">
        <v>133</v>
      </c>
      <c r="G169" s="38">
        <v>0</v>
      </c>
    </row>
    <row r="170" spans="1:8" x14ac:dyDescent="0.25">
      <c r="A170" s="55"/>
      <c r="B170" s="54" t="s">
        <v>208</v>
      </c>
      <c r="G170" s="38">
        <f>458017</f>
        <v>458017</v>
      </c>
      <c r="H170" s="24"/>
    </row>
    <row r="171" spans="1:8" x14ac:dyDescent="0.25">
      <c r="A171" s="55"/>
      <c r="B171" s="54" t="s">
        <v>165</v>
      </c>
      <c r="G171" s="38">
        <v>0</v>
      </c>
      <c r="H171" s="24"/>
    </row>
    <row r="172" spans="1:8" x14ac:dyDescent="0.25">
      <c r="A172" s="55"/>
      <c r="B172" s="54" t="s">
        <v>164</v>
      </c>
      <c r="G172" s="38">
        <f>252921.2</f>
        <v>252921.2</v>
      </c>
      <c r="H172" s="26"/>
    </row>
    <row r="173" spans="1:8" x14ac:dyDescent="0.25">
      <c r="A173" s="55"/>
      <c r="B173" s="54" t="s">
        <v>213</v>
      </c>
      <c r="G173" s="38">
        <v>0</v>
      </c>
      <c r="H173" s="26"/>
    </row>
    <row r="174" spans="1:8" x14ac:dyDescent="0.25">
      <c r="A174" s="55"/>
      <c r="B174" s="54" t="s">
        <v>209</v>
      </c>
      <c r="G174" s="38">
        <v>0</v>
      </c>
      <c r="H174" s="28"/>
    </row>
    <row r="175" spans="1:8" x14ac:dyDescent="0.25">
      <c r="A175" s="55"/>
      <c r="B175" s="54" t="s">
        <v>134</v>
      </c>
      <c r="G175" s="38">
        <f>490796.69</f>
        <v>490796.69</v>
      </c>
      <c r="H175" s="28"/>
    </row>
    <row r="176" spans="1:8" x14ac:dyDescent="0.25">
      <c r="A176" s="55"/>
      <c r="B176" s="54" t="s">
        <v>135</v>
      </c>
      <c r="G176" s="38">
        <v>0</v>
      </c>
      <c r="H176" s="24"/>
    </row>
    <row r="177" spans="1:11" x14ac:dyDescent="0.25">
      <c r="A177" s="55"/>
      <c r="B177" s="54" t="s">
        <v>220</v>
      </c>
      <c r="G177" s="38">
        <f>23316.8</f>
        <v>23316.799999999999</v>
      </c>
      <c r="H177" s="24"/>
    </row>
    <row r="178" spans="1:11" x14ac:dyDescent="0.25">
      <c r="A178" s="55"/>
      <c r="B178" s="54" t="s">
        <v>190</v>
      </c>
      <c r="G178" s="38">
        <f>179360</f>
        <v>179360</v>
      </c>
      <c r="H178" s="24"/>
    </row>
    <row r="179" spans="1:11" x14ac:dyDescent="0.25">
      <c r="A179" s="55"/>
      <c r="B179" s="54" t="s">
        <v>214</v>
      </c>
      <c r="G179" s="38">
        <f>103803.51</f>
        <v>103803.51</v>
      </c>
      <c r="H179" s="24"/>
    </row>
    <row r="180" spans="1:11" x14ac:dyDescent="0.25">
      <c r="A180" s="55"/>
      <c r="B180" s="54" t="s">
        <v>191</v>
      </c>
      <c r="G180" s="38">
        <f>106200</f>
        <v>106200</v>
      </c>
      <c r="H180" s="24"/>
    </row>
    <row r="181" spans="1:11" x14ac:dyDescent="0.25">
      <c r="A181" s="55"/>
      <c r="B181" s="54" t="s">
        <v>179</v>
      </c>
      <c r="G181" s="38">
        <f>400532.72</f>
        <v>400532.72</v>
      </c>
      <c r="H181" s="24"/>
    </row>
    <row r="182" spans="1:11" x14ac:dyDescent="0.25">
      <c r="A182" s="55"/>
      <c r="B182" s="54" t="s">
        <v>180</v>
      </c>
      <c r="G182" s="38">
        <f>7080</f>
        <v>7080</v>
      </c>
      <c r="H182" s="24"/>
    </row>
    <row r="183" spans="1:11" x14ac:dyDescent="0.25">
      <c r="A183" s="55"/>
      <c r="B183" s="54" t="s">
        <v>136</v>
      </c>
      <c r="G183" s="38">
        <f>5612645</f>
        <v>5612645</v>
      </c>
      <c r="H183" s="24"/>
    </row>
    <row r="184" spans="1:11" x14ac:dyDescent="0.25">
      <c r="A184" s="55"/>
      <c r="B184" s="54" t="s">
        <v>230</v>
      </c>
      <c r="G184" s="38">
        <f>300</f>
        <v>300</v>
      </c>
      <c r="H184" s="24"/>
    </row>
    <row r="185" spans="1:11" x14ac:dyDescent="0.25">
      <c r="A185" s="55"/>
      <c r="B185" s="54" t="s">
        <v>137</v>
      </c>
      <c r="G185" s="38">
        <v>0</v>
      </c>
      <c r="H185" s="24"/>
    </row>
    <row r="186" spans="1:11" x14ac:dyDescent="0.25">
      <c r="A186" s="55"/>
      <c r="B186" s="54" t="s">
        <v>138</v>
      </c>
      <c r="G186" s="38">
        <f>9570.6</f>
        <v>9570.6</v>
      </c>
      <c r="H186" s="24"/>
    </row>
    <row r="187" spans="1:11" x14ac:dyDescent="0.25">
      <c r="A187" s="55"/>
      <c r="B187" s="54" t="s">
        <v>166</v>
      </c>
      <c r="G187" s="38">
        <f>196018.12</f>
        <v>196018.12</v>
      </c>
      <c r="H187" s="24"/>
      <c r="K187" s="63"/>
    </row>
    <row r="188" spans="1:11" x14ac:dyDescent="0.25">
      <c r="A188" s="55"/>
      <c r="B188" s="54" t="s">
        <v>139</v>
      </c>
      <c r="G188" s="38">
        <v>0</v>
      </c>
      <c r="H188" s="24"/>
    </row>
    <row r="189" spans="1:11" x14ac:dyDescent="0.25">
      <c r="A189" s="55"/>
      <c r="B189" s="54" t="s">
        <v>181</v>
      </c>
      <c r="G189" s="38">
        <f>81854</f>
        <v>81854</v>
      </c>
      <c r="H189" s="24"/>
    </row>
    <row r="190" spans="1:11" x14ac:dyDescent="0.25">
      <c r="A190" s="55"/>
      <c r="B190" s="54" t="s">
        <v>140</v>
      </c>
      <c r="G190" s="38">
        <f>91159.2</f>
        <v>91159.2</v>
      </c>
      <c r="H190" s="24"/>
    </row>
    <row r="191" spans="1:11" x14ac:dyDescent="0.25">
      <c r="A191" s="55"/>
      <c r="B191" s="54" t="s">
        <v>141</v>
      </c>
      <c r="G191" s="38">
        <f>141007.57</f>
        <v>141007.57</v>
      </c>
      <c r="H191" s="24"/>
    </row>
    <row r="192" spans="1:11" x14ac:dyDescent="0.25">
      <c r="A192" s="55"/>
      <c r="B192" s="54" t="s">
        <v>215</v>
      </c>
      <c r="G192" s="38">
        <v>0</v>
      </c>
      <c r="H192" s="26"/>
    </row>
    <row r="193" spans="1:10" x14ac:dyDescent="0.25">
      <c r="A193" s="55"/>
      <c r="B193" s="54" t="s">
        <v>162</v>
      </c>
      <c r="G193" s="38">
        <v>0</v>
      </c>
    </row>
    <row r="194" spans="1:10" x14ac:dyDescent="0.25">
      <c r="A194" s="55"/>
      <c r="B194" s="54" t="s">
        <v>142</v>
      </c>
      <c r="G194" s="38">
        <f>639114.73</f>
        <v>639114.73</v>
      </c>
    </row>
    <row r="195" spans="1:10" x14ac:dyDescent="0.25">
      <c r="A195" s="55"/>
      <c r="B195" s="54" t="s">
        <v>174</v>
      </c>
      <c r="G195" s="38">
        <f>3005655.93</f>
        <v>3005655.93</v>
      </c>
    </row>
    <row r="196" spans="1:10" x14ac:dyDescent="0.25">
      <c r="A196" s="55"/>
      <c r="B196" s="54" t="s">
        <v>163</v>
      </c>
      <c r="G196" s="38">
        <f>478539.9</f>
        <v>478539.9</v>
      </c>
    </row>
    <row r="197" spans="1:10" x14ac:dyDescent="0.25">
      <c r="A197" s="55"/>
      <c r="B197" s="54" t="s">
        <v>143</v>
      </c>
      <c r="G197" s="38">
        <f>1626145.8</f>
        <v>1626145.8</v>
      </c>
    </row>
    <row r="198" spans="1:10" x14ac:dyDescent="0.25">
      <c r="A198" s="55"/>
      <c r="B198" s="24"/>
      <c r="G198" s="40">
        <f>SUM(G165:G197)</f>
        <v>31794223.490000002</v>
      </c>
      <c r="I198" s="38">
        <v>0</v>
      </c>
      <c r="J198" s="46">
        <f>G198-I198</f>
        <v>31794223.490000002</v>
      </c>
    </row>
    <row r="199" spans="1:10" x14ac:dyDescent="0.25">
      <c r="A199" s="55"/>
    </row>
    <row r="200" spans="1:10" x14ac:dyDescent="0.25">
      <c r="A200" s="55"/>
    </row>
    <row r="201" spans="1:10" x14ac:dyDescent="0.25">
      <c r="A201" s="55"/>
      <c r="B201" s="48" t="s">
        <v>89</v>
      </c>
      <c r="G201" s="5" t="s">
        <v>144</v>
      </c>
      <c r="J201" s="46"/>
    </row>
    <row r="202" spans="1:10" x14ac:dyDescent="0.25">
      <c r="A202" s="55"/>
      <c r="B202" s="54" t="s">
        <v>145</v>
      </c>
      <c r="G202" s="38">
        <v>4045490026.21</v>
      </c>
      <c r="I202" s="38"/>
      <c r="J202" s="46"/>
    </row>
    <row r="203" spans="1:10" x14ac:dyDescent="0.25">
      <c r="A203" s="55"/>
      <c r="B203" s="54" t="s">
        <v>146</v>
      </c>
      <c r="G203" s="38">
        <v>373136658.13999999</v>
      </c>
      <c r="I203" s="38"/>
    </row>
    <row r="204" spans="1:10" x14ac:dyDescent="0.25">
      <c r="A204" s="55"/>
      <c r="B204" s="54" t="s">
        <v>200</v>
      </c>
      <c r="G204" s="38">
        <v>0</v>
      </c>
    </row>
    <row r="205" spans="1:10" x14ac:dyDescent="0.25">
      <c r="A205" s="55"/>
      <c r="B205" s="54" t="s">
        <v>148</v>
      </c>
      <c r="G205" s="38">
        <f>2730741</f>
        <v>2730741</v>
      </c>
    </row>
    <row r="206" spans="1:10" x14ac:dyDescent="0.25">
      <c r="A206" s="55"/>
      <c r="B206" s="54" t="s">
        <v>224</v>
      </c>
      <c r="G206" s="38">
        <v>0</v>
      </c>
    </row>
    <row r="207" spans="1:10" x14ac:dyDescent="0.25">
      <c r="A207" s="55"/>
      <c r="B207" s="54" t="s">
        <v>210</v>
      </c>
      <c r="G207" s="38">
        <v>0</v>
      </c>
    </row>
    <row r="208" spans="1:10" x14ac:dyDescent="0.25">
      <c r="A208" s="55"/>
      <c r="G208" s="40">
        <f>SUM(G202:G207)</f>
        <v>4421357425.3500004</v>
      </c>
      <c r="I208" s="38">
        <v>0</v>
      </c>
      <c r="J208" s="46">
        <f>G208-I208</f>
        <v>4421357425.3500004</v>
      </c>
    </row>
    <row r="209" spans="1:10" x14ac:dyDescent="0.25">
      <c r="A209" s="55"/>
    </row>
    <row r="210" spans="1:10" x14ac:dyDescent="0.25">
      <c r="A210" s="55"/>
    </row>
    <row r="211" spans="1:10" x14ac:dyDescent="0.25">
      <c r="A211" s="55"/>
    </row>
    <row r="212" spans="1:10" x14ac:dyDescent="0.25">
      <c r="A212" s="55"/>
    </row>
    <row r="213" spans="1:10" x14ac:dyDescent="0.25">
      <c r="A213" s="55"/>
      <c r="I213" s="38"/>
    </row>
    <row r="214" spans="1:10" x14ac:dyDescent="0.25">
      <c r="A214" s="55"/>
      <c r="B214" s="24"/>
    </row>
    <row r="215" spans="1:10" x14ac:dyDescent="0.25">
      <c r="A215" s="55"/>
    </row>
    <row r="216" spans="1:10" x14ac:dyDescent="0.25">
      <c r="A216" s="55"/>
    </row>
    <row r="217" spans="1:10" x14ac:dyDescent="0.25">
      <c r="A217" s="55"/>
    </row>
    <row r="218" spans="1:10" x14ac:dyDescent="0.25">
      <c r="A218" s="55"/>
    </row>
    <row r="219" spans="1:10" x14ac:dyDescent="0.25">
      <c r="A219" s="55"/>
    </row>
    <row r="220" spans="1:10" x14ac:dyDescent="0.25">
      <c r="A220" s="55"/>
    </row>
    <row r="221" spans="1:10" x14ac:dyDescent="0.25">
      <c r="A221" s="55"/>
      <c r="I221" s="38"/>
      <c r="J221" s="46"/>
    </row>
    <row r="222" spans="1:10" x14ac:dyDescent="0.25">
      <c r="A222" s="55"/>
    </row>
    <row r="223" spans="1:10" x14ac:dyDescent="0.25">
      <c r="A223" s="55"/>
    </row>
    <row r="224" spans="1:10" x14ac:dyDescent="0.25">
      <c r="A224" s="55"/>
    </row>
    <row r="225" spans="1:7" x14ac:dyDescent="0.25">
      <c r="A225" s="55"/>
    </row>
    <row r="226" spans="1:7" x14ac:dyDescent="0.25">
      <c r="A226" s="55"/>
      <c r="B226" s="48" t="s">
        <v>149</v>
      </c>
      <c r="G226" s="5" t="s">
        <v>153</v>
      </c>
    </row>
    <row r="227" spans="1:7" x14ac:dyDescent="0.25">
      <c r="A227" s="55"/>
      <c r="B227" s="7" t="s">
        <v>199</v>
      </c>
      <c r="G227" s="38">
        <f>2053246.26</f>
        <v>2053246.26</v>
      </c>
    </row>
    <row r="228" spans="1:7" x14ac:dyDescent="0.25">
      <c r="A228" s="55"/>
      <c r="B228" s="54" t="s">
        <v>154</v>
      </c>
      <c r="G228" s="38">
        <f>6825124.1</f>
        <v>6825124.0999999996</v>
      </c>
    </row>
    <row r="229" spans="1:7" x14ac:dyDescent="0.25">
      <c r="A229" s="55"/>
      <c r="B229" s="54" t="s">
        <v>192</v>
      </c>
      <c r="G229" s="38">
        <f>3707011.14</f>
        <v>3707011.14</v>
      </c>
    </row>
    <row r="230" spans="1:7" x14ac:dyDescent="0.25">
      <c r="A230" s="55"/>
      <c r="B230" s="54" t="s">
        <v>217</v>
      </c>
      <c r="G230" s="38">
        <f>189980</f>
        <v>189980</v>
      </c>
    </row>
    <row r="231" spans="1:7" x14ac:dyDescent="0.25">
      <c r="A231" s="55"/>
      <c r="B231" s="65" t="s">
        <v>221</v>
      </c>
      <c r="C231" s="66"/>
      <c r="D231" s="66"/>
      <c r="G231" s="38">
        <v>0</v>
      </c>
    </row>
    <row r="232" spans="1:7" x14ac:dyDescent="0.25">
      <c r="A232" s="55"/>
      <c r="B232" s="65" t="s">
        <v>225</v>
      </c>
      <c r="C232" s="66"/>
      <c r="D232" s="66"/>
      <c r="G232" s="38">
        <v>0</v>
      </c>
    </row>
    <row r="233" spans="1:7" x14ac:dyDescent="0.25">
      <c r="A233" s="55"/>
      <c r="B233" s="65" t="s">
        <v>222</v>
      </c>
      <c r="C233" s="66"/>
      <c r="D233" s="66"/>
      <c r="G233" s="38">
        <v>0</v>
      </c>
    </row>
    <row r="234" spans="1:7" x14ac:dyDescent="0.25">
      <c r="A234" s="55"/>
      <c r="B234" s="54" t="s">
        <v>193</v>
      </c>
      <c r="G234" s="38">
        <f>5063999.56</f>
        <v>5063999.5599999996</v>
      </c>
    </row>
    <row r="235" spans="1:7" x14ac:dyDescent="0.25">
      <c r="A235" s="55"/>
      <c r="B235" s="54" t="s">
        <v>226</v>
      </c>
      <c r="G235" s="38"/>
    </row>
    <row r="236" spans="1:7" x14ac:dyDescent="0.25">
      <c r="A236" s="55"/>
      <c r="B236" s="54" t="s">
        <v>227</v>
      </c>
      <c r="G236" s="38"/>
    </row>
    <row r="237" spans="1:7" x14ac:dyDescent="0.25">
      <c r="A237" s="55"/>
      <c r="B237" s="54" t="s">
        <v>194</v>
      </c>
      <c r="G237" s="38">
        <f>89000.02</f>
        <v>89000.02</v>
      </c>
    </row>
    <row r="238" spans="1:7" x14ac:dyDescent="0.25">
      <c r="A238" s="55"/>
      <c r="B238" s="54" t="s">
        <v>195</v>
      </c>
      <c r="G238" s="38">
        <v>0</v>
      </c>
    </row>
    <row r="239" spans="1:7" x14ac:dyDescent="0.25">
      <c r="A239" s="55"/>
      <c r="B239" s="54" t="s">
        <v>196</v>
      </c>
      <c r="G239" s="38">
        <f>3409971.82</f>
        <v>3409971.82</v>
      </c>
    </row>
    <row r="240" spans="1:7" x14ac:dyDescent="0.25">
      <c r="A240" s="55"/>
      <c r="B240" s="54" t="s">
        <v>228</v>
      </c>
      <c r="G240" s="38">
        <v>0</v>
      </c>
    </row>
    <row r="241" spans="1:10" x14ac:dyDescent="0.25">
      <c r="A241" s="55"/>
      <c r="B241" s="54" t="s">
        <v>197</v>
      </c>
      <c r="G241" s="38">
        <v>0</v>
      </c>
    </row>
    <row r="242" spans="1:10" x14ac:dyDescent="0.25">
      <c r="A242" s="55"/>
      <c r="B242" s="54" t="s">
        <v>198</v>
      </c>
      <c r="G242" s="38">
        <f>45430</f>
        <v>45430</v>
      </c>
    </row>
    <row r="243" spans="1:10" x14ac:dyDescent="0.25">
      <c r="A243" s="55"/>
      <c r="B243" s="54" t="s">
        <v>218</v>
      </c>
      <c r="G243" s="38">
        <f>312499.99</f>
        <v>312499.99</v>
      </c>
    </row>
    <row r="244" spans="1:10" x14ac:dyDescent="0.25">
      <c r="A244" s="55"/>
      <c r="B244" s="54" t="s">
        <v>155</v>
      </c>
      <c r="G244" s="38">
        <v>0</v>
      </c>
    </row>
    <row r="245" spans="1:10" x14ac:dyDescent="0.25">
      <c r="A245" s="55"/>
      <c r="B245" s="54" t="s">
        <v>205</v>
      </c>
      <c r="G245" s="38">
        <f>2992294.8</f>
        <v>2992294.8</v>
      </c>
    </row>
    <row r="246" spans="1:10" x14ac:dyDescent="0.25">
      <c r="A246" s="55"/>
      <c r="B246" s="54" t="s">
        <v>219</v>
      </c>
      <c r="G246" s="38">
        <f>1852908.84</f>
        <v>1852908.84</v>
      </c>
    </row>
    <row r="247" spans="1:10" x14ac:dyDescent="0.25">
      <c r="A247" s="55"/>
      <c r="G247" s="40">
        <f>SUM(G227:G246)</f>
        <v>26541466.529999997</v>
      </c>
      <c r="I247" s="38">
        <v>0</v>
      </c>
      <c r="J247" s="46">
        <f>G247-I247</f>
        <v>26541466.529999997</v>
      </c>
    </row>
    <row r="248" spans="1:10" x14ac:dyDescent="0.25">
      <c r="A248" s="55"/>
    </row>
    <row r="249" spans="1:10" x14ac:dyDescent="0.25">
      <c r="A249" s="55"/>
    </row>
    <row r="250" spans="1:10" x14ac:dyDescent="0.25">
      <c r="A250" s="55"/>
      <c r="B250" s="48" t="s">
        <v>151</v>
      </c>
      <c r="G250" s="5" t="s">
        <v>156</v>
      </c>
    </row>
    <row r="251" spans="1:10" x14ac:dyDescent="0.25">
      <c r="A251" s="55"/>
      <c r="B251" s="54" t="s">
        <v>157</v>
      </c>
      <c r="G251" s="38">
        <f>3013533.68</f>
        <v>3013533.68</v>
      </c>
    </row>
    <row r="252" spans="1:10" x14ac:dyDescent="0.25">
      <c r="A252" s="55"/>
      <c r="G252" s="40">
        <f>SUM(G251:G251)</f>
        <v>3013533.68</v>
      </c>
      <c r="I252" s="38">
        <v>0</v>
      </c>
      <c r="J252" s="46">
        <f>G252-I252</f>
        <v>3013533.68</v>
      </c>
    </row>
    <row r="253" spans="1:10" x14ac:dyDescent="0.25">
      <c r="A253" s="55"/>
    </row>
    <row r="254" spans="1:10" x14ac:dyDescent="0.25">
      <c r="A254" s="55"/>
    </row>
    <row r="255" spans="1:10" x14ac:dyDescent="0.25">
      <c r="A255" s="55"/>
    </row>
    <row r="256" spans="1:10" x14ac:dyDescent="0.25">
      <c r="A256" s="55"/>
    </row>
    <row r="257" spans="1:7" x14ac:dyDescent="0.25">
      <c r="A257" s="55"/>
    </row>
    <row r="258" spans="1:7" x14ac:dyDescent="0.25">
      <c r="A258" s="55"/>
    </row>
    <row r="259" spans="1:7" x14ac:dyDescent="0.25">
      <c r="A259" s="55"/>
      <c r="B259" s="33" t="s">
        <v>223</v>
      </c>
      <c r="D259" s="23"/>
      <c r="G259" s="22" t="s">
        <v>168</v>
      </c>
    </row>
    <row r="260" spans="1:7" x14ac:dyDescent="0.25">
      <c r="B260" s="30" t="s">
        <v>25</v>
      </c>
      <c r="F260" s="61" t="s">
        <v>201</v>
      </c>
    </row>
  </sheetData>
  <mergeCells count="3">
    <mergeCell ref="A11:H11"/>
    <mergeCell ref="A12:H12"/>
    <mergeCell ref="A13:H1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2025-01-15T14:18:08Z</cp:lastPrinted>
  <dcterms:created xsi:type="dcterms:W3CDTF">2023-03-31T14:59:57Z</dcterms:created>
  <dcterms:modified xsi:type="dcterms:W3CDTF">2025-01-15T16:17:05Z</dcterms:modified>
</cp:coreProperties>
</file>