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Inf.Ing.perez\Documents\2019\PRESUPUESTO 2019\PRESUPUESTOS LICITACION\editable\"/>
    </mc:Choice>
  </mc:AlternateContent>
  <xr:revisionPtr revIDLastSave="0" documentId="8_{CF6831D4-9F29-4F04-8E4F-0C60AC2FC1BF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AGRICULTURA" sheetId="4" r:id="rId1"/>
    <sheet name="PREVENCION" sheetId="5" r:id="rId2"/>
    <sheet name="OPERACIONES" sheetId="8" r:id="rId3"/>
    <sheet name="CAPACITACION" sheetId="9" r:id="rId4"/>
    <sheet name="MONTEPLATA" sheetId="6" r:id="rId5"/>
    <sheet name="SAN PEDRO" sheetId="7" r:id="rId6"/>
    <sheet name="ATC SANTIAGO" sheetId="12" r:id="rId7"/>
    <sheet name="Presupuesto" sheetId="1" state="hidden" r:id="rId8"/>
  </sheets>
  <externalReferences>
    <externalReference r:id="rId9"/>
  </externalReferences>
  <definedNames>
    <definedName name="_xlnm.Print_Area" localSheetId="0">AGRICULTURA!$A$1:$H$55</definedName>
    <definedName name="_xlnm.Print_Area" localSheetId="7">Presupuesto!$A$1:$H$55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6" i="12" l="1"/>
  <c r="A15" i="12"/>
  <c r="A67" i="7"/>
  <c r="A17" i="7"/>
  <c r="A16" i="7"/>
  <c r="A46" i="6"/>
  <c r="A47" i="6" s="1"/>
  <c r="A48" i="6" s="1"/>
  <c r="A45" i="6"/>
  <c r="A36" i="6"/>
  <c r="A37" i="6" s="1"/>
  <c r="A38" i="6" s="1"/>
  <c r="A39" i="6" s="1"/>
  <c r="A35" i="6"/>
  <c r="A28" i="6"/>
  <c r="A26" i="9"/>
  <c r="A37" i="8"/>
  <c r="A38" i="8" s="1"/>
  <c r="A39" i="8" s="1"/>
  <c r="A35" i="8"/>
  <c r="A39" i="5"/>
  <c r="A40" i="5" s="1"/>
  <c r="A41" i="5" s="1"/>
  <c r="A38" i="5"/>
  <c r="A17" i="5"/>
  <c r="G43" i="12"/>
  <c r="D43" i="12"/>
  <c r="D42" i="12"/>
  <c r="G42" i="12" s="1"/>
  <c r="G41" i="12"/>
  <c r="D41" i="12"/>
  <c r="D40" i="12"/>
  <c r="G40" i="12" s="1"/>
  <c r="G39" i="12"/>
  <c r="D38" i="12"/>
  <c r="G38" i="12" s="1"/>
  <c r="D37" i="12"/>
  <c r="G37" i="12" s="1"/>
  <c r="C37" i="12"/>
  <c r="G35" i="12"/>
  <c r="D35" i="12"/>
  <c r="C35" i="12"/>
  <c r="G34" i="12"/>
  <c r="H33" i="12" s="1"/>
  <c r="J33" i="12" s="1"/>
  <c r="D34" i="12"/>
  <c r="C34" i="12"/>
  <c r="D32" i="12"/>
  <c r="G32" i="12" s="1"/>
  <c r="C32" i="12"/>
  <c r="G31" i="12"/>
  <c r="H28" i="12" s="1"/>
  <c r="J28" i="12" s="1"/>
  <c r="C31" i="12"/>
  <c r="G30" i="12"/>
  <c r="C30" i="12"/>
  <c r="G29" i="12"/>
  <c r="C29" i="12"/>
  <c r="G27" i="12"/>
  <c r="H24" i="12" s="1"/>
  <c r="G26" i="12"/>
  <c r="G25" i="12"/>
  <c r="J24" i="12"/>
  <c r="A24" i="12"/>
  <c r="A25" i="12" s="1"/>
  <c r="A26" i="12" s="1"/>
  <c r="A27" i="12" s="1"/>
  <c r="G22" i="12"/>
  <c r="G21" i="12"/>
  <c r="G20" i="12"/>
  <c r="G19" i="12"/>
  <c r="H17" i="12" s="1"/>
  <c r="J17" i="12" s="1"/>
  <c r="G18" i="12"/>
  <c r="A18" i="12"/>
  <c r="A19" i="12" s="1"/>
  <c r="A20" i="12" s="1"/>
  <c r="A21" i="12" s="1"/>
  <c r="A22" i="12" s="1"/>
  <c r="G16" i="12"/>
  <c r="C16" i="12"/>
  <c r="G15" i="12"/>
  <c r="C15" i="12"/>
  <c r="D14" i="12"/>
  <c r="G14" i="12" s="1"/>
  <c r="H13" i="12" s="1"/>
  <c r="J13" i="12" s="1"/>
  <c r="C14" i="12"/>
  <c r="G13" i="12"/>
  <c r="D12" i="12"/>
  <c r="G12" i="12" s="1"/>
  <c r="H11" i="12" s="1"/>
  <c r="A12" i="12"/>
  <c r="O11" i="12"/>
  <c r="M11" i="12"/>
  <c r="M10" i="12"/>
  <c r="A28" i="12" l="1"/>
  <c r="A29" i="12" s="1"/>
  <c r="A30" i="12" s="1"/>
  <c r="A31" i="12" s="1"/>
  <c r="A32" i="12" s="1"/>
  <c r="H36" i="12"/>
  <c r="J36" i="12" s="1"/>
  <c r="J11" i="12"/>
  <c r="J45" i="12" s="1"/>
  <c r="H45" i="12"/>
  <c r="A33" i="12" l="1"/>
  <c r="A34" i="12" s="1"/>
  <c r="A35" i="12" s="1"/>
  <c r="F50" i="12"/>
  <c r="F49" i="12"/>
  <c r="F55" i="12" s="1"/>
  <c r="F51" i="12"/>
  <c r="F54" i="12"/>
  <c r="F48" i="12"/>
  <c r="F53" i="12"/>
  <c r="F52" i="12"/>
  <c r="J49" i="12"/>
  <c r="J55" i="12" s="1"/>
  <c r="J54" i="12"/>
  <c r="J48" i="12"/>
  <c r="J52" i="12"/>
  <c r="J50" i="12"/>
  <c r="J53" i="12"/>
  <c r="J56" i="12" s="1"/>
  <c r="J51" i="12"/>
  <c r="A36" i="12" l="1"/>
  <c r="A37" i="12" s="1"/>
  <c r="A38" i="12" s="1"/>
  <c r="A39" i="12" s="1"/>
  <c r="A40" i="12" s="1"/>
  <c r="A41" i="12" s="1"/>
  <c r="A42" i="12" s="1"/>
  <c r="A43" i="12" s="1"/>
  <c r="H55" i="12"/>
  <c r="H56" i="12" s="1"/>
  <c r="F69" i="9" l="1"/>
  <c r="F68" i="9"/>
  <c r="F67" i="9"/>
  <c r="F66" i="9"/>
  <c r="F65" i="9"/>
  <c r="F64" i="9"/>
  <c r="F70" i="9" s="1"/>
  <c r="F63" i="9"/>
  <c r="F58" i="9"/>
  <c r="G57" i="9" s="1"/>
  <c r="A58" i="9"/>
  <c r="F55" i="9"/>
  <c r="F54" i="9"/>
  <c r="F53" i="9"/>
  <c r="F52" i="9"/>
  <c r="F51" i="9"/>
  <c r="F50" i="9"/>
  <c r="F49" i="9"/>
  <c r="F48" i="9"/>
  <c r="F47" i="9"/>
  <c r="F46" i="9"/>
  <c r="F45" i="9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C42" i="9"/>
  <c r="F42" i="9" s="1"/>
  <c r="G41" i="9" s="1"/>
  <c r="A42" i="9"/>
  <c r="F39" i="9"/>
  <c r="F38" i="9"/>
  <c r="F37" i="9"/>
  <c r="F36" i="9"/>
  <c r="A36" i="9"/>
  <c r="A37" i="9" s="1"/>
  <c r="A38" i="9" s="1"/>
  <c r="A39" i="9" s="1"/>
  <c r="A32" i="9"/>
  <c r="A33" i="9" s="1"/>
  <c r="C30" i="9"/>
  <c r="F30" i="9" s="1"/>
  <c r="G28" i="9" s="1"/>
  <c r="A30" i="9"/>
  <c r="F29" i="9"/>
  <c r="C29" i="9"/>
  <c r="A29" i="9"/>
  <c r="F26" i="9"/>
  <c r="C25" i="9"/>
  <c r="F25" i="9" s="1"/>
  <c r="C24" i="9"/>
  <c r="F24" i="9" s="1"/>
  <c r="A24" i="9"/>
  <c r="A25" i="9" s="1"/>
  <c r="F21" i="9"/>
  <c r="F20" i="9"/>
  <c r="C19" i="9"/>
  <c r="F19" i="9" s="1"/>
  <c r="F18" i="9"/>
  <c r="C17" i="9"/>
  <c r="F17" i="9" s="1"/>
  <c r="F16" i="9"/>
  <c r="F15" i="9"/>
  <c r="F14" i="9"/>
  <c r="F13" i="9"/>
  <c r="C12" i="9"/>
  <c r="F12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G23" i="9" l="1"/>
  <c r="G35" i="9"/>
  <c r="G44" i="9"/>
  <c r="G11" i="9"/>
  <c r="C33" i="9"/>
  <c r="F33" i="9" s="1"/>
  <c r="G32" i="9" s="1"/>
  <c r="G60" i="9" s="1"/>
  <c r="G71" i="9" l="1"/>
  <c r="F72" i="9" s="1"/>
  <c r="G47" i="8" l="1"/>
  <c r="G46" i="8"/>
  <c r="C46" i="8"/>
  <c r="A46" i="8"/>
  <c r="A47" i="8" s="1"/>
  <c r="H45" i="8"/>
  <c r="G44" i="8"/>
  <c r="C44" i="8"/>
  <c r="G43" i="8"/>
  <c r="C43" i="8"/>
  <c r="H42" i="8"/>
  <c r="G41" i="8"/>
  <c r="C41" i="8"/>
  <c r="H40" i="8"/>
  <c r="G39" i="8"/>
  <c r="C39" i="8"/>
  <c r="G38" i="8"/>
  <c r="C38" i="8"/>
  <c r="G37" i="8"/>
  <c r="G36" i="8"/>
  <c r="C36" i="8"/>
  <c r="G35" i="8"/>
  <c r="D34" i="8"/>
  <c r="G34" i="8" s="1"/>
  <c r="G33" i="8"/>
  <c r="C33" i="8"/>
  <c r="C34" i="8" s="1"/>
  <c r="G31" i="8"/>
  <c r="A31" i="8"/>
  <c r="A33" i="8" s="1"/>
  <c r="A30" i="8"/>
  <c r="A40" i="8" s="1"/>
  <c r="G28" i="8"/>
  <c r="G27" i="8"/>
  <c r="G26" i="8"/>
  <c r="C26" i="8"/>
  <c r="G25" i="8"/>
  <c r="C25" i="8"/>
  <c r="A25" i="8"/>
  <c r="A26" i="8" s="1"/>
  <c r="A27" i="8" s="1"/>
  <c r="A28" i="8" s="1"/>
  <c r="G22" i="8"/>
  <c r="H21" i="8" s="1"/>
  <c r="C22" i="8"/>
  <c r="C16" i="8"/>
  <c r="O14" i="8"/>
  <c r="O13" i="8"/>
  <c r="G13" i="8"/>
  <c r="A13" i="8"/>
  <c r="A14" i="8" s="1"/>
  <c r="A15" i="8" s="1"/>
  <c r="A16" i="8" s="1"/>
  <c r="A17" i="8" s="1"/>
  <c r="A18" i="8" s="1"/>
  <c r="A19" i="8" s="1"/>
  <c r="O12" i="8"/>
  <c r="M12" i="8"/>
  <c r="M13" i="8" s="1"/>
  <c r="M14" i="8" s="1"/>
  <c r="H12" i="8"/>
  <c r="M11" i="8"/>
  <c r="H30" i="8" l="1"/>
  <c r="H24" i="8"/>
  <c r="A42" i="8"/>
  <c r="A43" i="8" s="1"/>
  <c r="A44" i="8" s="1"/>
  <c r="A41" i="8"/>
  <c r="A34" i="8"/>
  <c r="H49" i="8" l="1"/>
  <c r="F53" i="8" s="1"/>
  <c r="F59" i="8" s="1"/>
  <c r="F58" i="8"/>
  <c r="F54" i="8"/>
  <c r="A36" i="8"/>
  <c r="F52" i="8" l="1"/>
  <c r="F55" i="8"/>
  <c r="F56" i="8"/>
  <c r="F57" i="8"/>
  <c r="H60" i="8"/>
  <c r="H62" i="8" s="1"/>
  <c r="J77" i="7" l="1"/>
  <c r="J76" i="7"/>
  <c r="J75" i="7"/>
  <c r="J74" i="7"/>
  <c r="J73" i="7"/>
  <c r="J72" i="7"/>
  <c r="J78" i="7" s="1"/>
  <c r="J71" i="7"/>
  <c r="G67" i="7"/>
  <c r="H66" i="7"/>
  <c r="I66" i="7" s="1"/>
  <c r="G64" i="7"/>
  <c r="C64" i="7"/>
  <c r="G63" i="7"/>
  <c r="D63" i="7"/>
  <c r="G62" i="7"/>
  <c r="C62" i="7"/>
  <c r="A62" i="7"/>
  <c r="A63" i="7" s="1"/>
  <c r="A64" i="7" s="1"/>
  <c r="G59" i="7"/>
  <c r="G58" i="7"/>
  <c r="G57" i="7"/>
  <c r="G56" i="7"/>
  <c r="G55" i="7"/>
  <c r="G54" i="7"/>
  <c r="G53" i="7"/>
  <c r="G52" i="7"/>
  <c r="H51" i="7" s="1"/>
  <c r="I51" i="7" s="1"/>
  <c r="A52" i="7"/>
  <c r="A53" i="7" s="1"/>
  <c r="A54" i="7" s="1"/>
  <c r="A55" i="7" s="1"/>
  <c r="A56" i="7" s="1"/>
  <c r="A57" i="7" s="1"/>
  <c r="A58" i="7" s="1"/>
  <c r="A59" i="7" s="1"/>
  <c r="G49" i="7"/>
  <c r="G48" i="7"/>
  <c r="G47" i="7"/>
  <c r="G46" i="7"/>
  <c r="G45" i="7"/>
  <c r="G44" i="7"/>
  <c r="G43" i="7"/>
  <c r="G42" i="7"/>
  <c r="G41" i="7"/>
  <c r="G40" i="7"/>
  <c r="G39" i="7"/>
  <c r="C39" i="7"/>
  <c r="G38" i="7"/>
  <c r="C38" i="7"/>
  <c r="G37" i="7"/>
  <c r="C37" i="7"/>
  <c r="G36" i="7"/>
  <c r="A36" i="7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G32" i="7"/>
  <c r="C32" i="7"/>
  <c r="A32" i="7"/>
  <c r="H31" i="7"/>
  <c r="I31" i="7" s="1"/>
  <c r="G29" i="7"/>
  <c r="C29" i="7"/>
  <c r="D28" i="7"/>
  <c r="G28" i="7" s="1"/>
  <c r="C28" i="7"/>
  <c r="G27" i="7"/>
  <c r="G26" i="7"/>
  <c r="G25" i="7"/>
  <c r="A25" i="7"/>
  <c r="A26" i="7" s="1"/>
  <c r="A27" i="7" s="1"/>
  <c r="A28" i="7" s="1"/>
  <c r="A29" i="7" s="1"/>
  <c r="D22" i="7"/>
  <c r="G22" i="7" s="1"/>
  <c r="C22" i="7"/>
  <c r="G21" i="7"/>
  <c r="C21" i="7"/>
  <c r="G20" i="7"/>
  <c r="A20" i="7"/>
  <c r="A21" i="7" s="1"/>
  <c r="A22" i="7" s="1"/>
  <c r="H19" i="7"/>
  <c r="I19" i="7" s="1"/>
  <c r="G17" i="7"/>
  <c r="C17" i="7"/>
  <c r="G16" i="7"/>
  <c r="C16" i="7"/>
  <c r="G15" i="7"/>
  <c r="C15" i="7"/>
  <c r="G12" i="7"/>
  <c r="H11" i="7" s="1"/>
  <c r="I11" i="7" s="1"/>
  <c r="M11" i="7"/>
  <c r="K11" i="7"/>
  <c r="K10" i="7"/>
  <c r="H61" i="7" l="1"/>
  <c r="I61" i="7" s="1"/>
  <c r="H24" i="7"/>
  <c r="I24" i="7" s="1"/>
  <c r="H14" i="7"/>
  <c r="I14" i="7" s="1"/>
  <c r="H34" i="7"/>
  <c r="I34" i="7" s="1"/>
  <c r="I69" i="7" s="1"/>
  <c r="I76" i="7" l="1"/>
  <c r="I72" i="7"/>
  <c r="I74" i="7"/>
  <c r="I75" i="7"/>
  <c r="I78" i="7"/>
  <c r="I77" i="7"/>
  <c r="I73" i="7"/>
  <c r="I79" i="7" s="1"/>
  <c r="H69" i="7"/>
  <c r="F77" i="7" l="1"/>
  <c r="F73" i="7"/>
  <c r="F79" i="7" s="1"/>
  <c r="F76" i="7"/>
  <c r="F72" i="7"/>
  <c r="F74" i="7"/>
  <c r="F78" i="7"/>
  <c r="F75" i="7"/>
  <c r="I80" i="7"/>
  <c r="I81" i="7" s="1"/>
  <c r="H80" i="7" l="1"/>
  <c r="H81" i="7" s="1"/>
  <c r="I83" i="7" s="1"/>
  <c r="G61" i="6" l="1"/>
  <c r="C61" i="6"/>
  <c r="D60" i="6"/>
  <c r="G60" i="6" s="1"/>
  <c r="H55" i="6" s="1"/>
  <c r="G59" i="6"/>
  <c r="G58" i="6"/>
  <c r="G57" i="6"/>
  <c r="G56" i="6"/>
  <c r="G53" i="6"/>
  <c r="C53" i="6"/>
  <c r="G52" i="6"/>
  <c r="G51" i="6"/>
  <c r="H50" i="6" s="1"/>
  <c r="C51" i="6"/>
  <c r="G48" i="6"/>
  <c r="G47" i="6"/>
  <c r="G46" i="6"/>
  <c r="G45" i="6"/>
  <c r="C45" i="6"/>
  <c r="G44" i="6"/>
  <c r="C44" i="6"/>
  <c r="G43" i="6"/>
  <c r="G42" i="6"/>
  <c r="H41" i="6" s="1"/>
  <c r="C42" i="6"/>
  <c r="G39" i="6"/>
  <c r="C39" i="6"/>
  <c r="G38" i="6"/>
  <c r="C38" i="6"/>
  <c r="G37" i="6"/>
  <c r="C37" i="6"/>
  <c r="G36" i="6"/>
  <c r="G35" i="6"/>
  <c r="G34" i="6"/>
  <c r="G33" i="6"/>
  <c r="G32" i="6"/>
  <c r="G31" i="6"/>
  <c r="H30" i="6" s="1"/>
  <c r="G28" i="6"/>
  <c r="C28" i="6"/>
  <c r="G27" i="6"/>
  <c r="C27" i="6"/>
  <c r="G26" i="6"/>
  <c r="C26" i="6"/>
  <c r="G25" i="6"/>
  <c r="H23" i="6" s="1"/>
  <c r="G24" i="6"/>
  <c r="C24" i="6"/>
  <c r="G21" i="6"/>
  <c r="C21" i="6"/>
  <c r="G20" i="6"/>
  <c r="C20" i="6"/>
  <c r="G19" i="6"/>
  <c r="C19" i="6"/>
  <c r="G18" i="6"/>
  <c r="H17" i="6" s="1"/>
  <c r="C18" i="6"/>
  <c r="A23" i="6"/>
  <c r="G15" i="6"/>
  <c r="G14" i="6"/>
  <c r="H13" i="6" s="1"/>
  <c r="C14" i="6"/>
  <c r="A14" i="6"/>
  <c r="A15" i="6" s="1"/>
  <c r="O11" i="6"/>
  <c r="M11" i="6"/>
  <c r="H11" i="6"/>
  <c r="G11" i="6"/>
  <c r="M10" i="6"/>
  <c r="G44" i="5"/>
  <c r="A44" i="5"/>
  <c r="H43" i="5"/>
  <c r="H46" i="5" s="1"/>
  <c r="C43" i="5"/>
  <c r="G41" i="5"/>
  <c r="G40" i="5"/>
  <c r="H34" i="5" s="1"/>
  <c r="C40" i="5"/>
  <c r="G39" i="5"/>
  <c r="G38" i="5"/>
  <c r="G37" i="5"/>
  <c r="G36" i="5"/>
  <c r="G35" i="5"/>
  <c r="A35" i="5"/>
  <c r="A36" i="5" s="1"/>
  <c r="A37" i="5" s="1"/>
  <c r="D32" i="5"/>
  <c r="G32" i="5" s="1"/>
  <c r="H31" i="5" s="1"/>
  <c r="C32" i="5"/>
  <c r="A32" i="5"/>
  <c r="D29" i="5"/>
  <c r="G29" i="5" s="1"/>
  <c r="H28" i="5" s="1"/>
  <c r="C29" i="5"/>
  <c r="A28" i="5"/>
  <c r="A29" i="5" s="1"/>
  <c r="G26" i="5"/>
  <c r="H24" i="5" s="1"/>
  <c r="G25" i="5"/>
  <c r="A25" i="5"/>
  <c r="A26" i="5" s="1"/>
  <c r="G22" i="5"/>
  <c r="C22" i="5"/>
  <c r="G21" i="5"/>
  <c r="G20" i="5"/>
  <c r="H19" i="5" s="1"/>
  <c r="C20" i="5"/>
  <c r="A20" i="5"/>
  <c r="A21" i="5" s="1"/>
  <c r="A22" i="5" s="1"/>
  <c r="G17" i="5"/>
  <c r="G16" i="5"/>
  <c r="G15" i="5"/>
  <c r="G14" i="5"/>
  <c r="G13" i="5"/>
  <c r="A13" i="5"/>
  <c r="A14" i="5" s="1"/>
  <c r="A15" i="5" s="1"/>
  <c r="G12" i="5"/>
  <c r="H11" i="5" s="1"/>
  <c r="A12" i="5"/>
  <c r="O11" i="5"/>
  <c r="M11" i="5"/>
  <c r="M10" i="5"/>
  <c r="H63" i="6" l="1"/>
  <c r="A30" i="6"/>
  <c r="A24" i="6"/>
  <c r="A25" i="6" s="1"/>
  <c r="A26" i="6" s="1"/>
  <c r="A18" i="6"/>
  <c r="A19" i="6" s="1"/>
  <c r="A20" i="6" s="1"/>
  <c r="A21" i="6" s="1"/>
  <c r="F53" i="5"/>
  <c r="F52" i="5"/>
  <c r="F51" i="5"/>
  <c r="F49" i="5"/>
  <c r="F54" i="5"/>
  <c r="F50" i="5"/>
  <c r="F56" i="5" s="1"/>
  <c r="F55" i="5"/>
  <c r="A16" i="5"/>
  <c r="F71" i="6" l="1"/>
  <c r="F70" i="6"/>
  <c r="F67" i="6"/>
  <c r="F73" i="6" s="1"/>
  <c r="F69" i="6"/>
  <c r="F68" i="6"/>
  <c r="F66" i="6"/>
  <c r="F72" i="6"/>
  <c r="A27" i="6"/>
  <c r="A31" i="6"/>
  <c r="A32" i="6" s="1"/>
  <c r="A33" i="6" s="1"/>
  <c r="A41" i="6"/>
  <c r="H57" i="5"/>
  <c r="H58" i="5" s="1"/>
  <c r="A42" i="6" l="1"/>
  <c r="A43" i="6" s="1"/>
  <c r="A44" i="6" s="1"/>
  <c r="A50" i="6"/>
  <c r="H74" i="6"/>
  <c r="H75" i="6" s="1"/>
  <c r="A34" i="6"/>
  <c r="A55" i="6" l="1"/>
  <c r="A56" i="6" s="1"/>
  <c r="A57" i="6" s="1"/>
  <c r="A58" i="6" s="1"/>
  <c r="A59" i="6" s="1"/>
  <c r="A60" i="6" s="1"/>
  <c r="A61" i="6" s="1"/>
  <c r="A51" i="6"/>
  <c r="A52" i="6" s="1"/>
  <c r="A53" i="6" s="1"/>
  <c r="H46" i="4" l="1"/>
  <c r="G36" i="4"/>
  <c r="H35" i="4" s="1"/>
  <c r="A36" i="4"/>
  <c r="C35" i="4"/>
  <c r="G33" i="4"/>
  <c r="A33" i="4"/>
  <c r="G32" i="4"/>
  <c r="H30" i="4" s="1"/>
  <c r="C32" i="4"/>
  <c r="A32" i="4"/>
  <c r="G31" i="4"/>
  <c r="A31" i="4"/>
  <c r="G28" i="4"/>
  <c r="H27" i="4" s="1"/>
  <c r="C28" i="4"/>
  <c r="A28" i="4"/>
  <c r="G25" i="4"/>
  <c r="H24" i="4" s="1"/>
  <c r="C25" i="4"/>
  <c r="A25" i="4"/>
  <c r="A24" i="4"/>
  <c r="G22" i="4"/>
  <c r="H21" i="4" s="1"/>
  <c r="A22" i="4"/>
  <c r="G19" i="4"/>
  <c r="C19" i="4"/>
  <c r="A19" i="4"/>
  <c r="G18" i="4"/>
  <c r="H17" i="4" s="1"/>
  <c r="C18" i="4"/>
  <c r="A18" i="4"/>
  <c r="G15" i="4"/>
  <c r="G14" i="4"/>
  <c r="G13" i="4"/>
  <c r="G12" i="4"/>
  <c r="A12" i="4"/>
  <c r="A13" i="4" s="1"/>
  <c r="A14" i="4" s="1"/>
  <c r="A15" i="4" s="1"/>
  <c r="N11" i="4"/>
  <c r="L11" i="4"/>
  <c r="L10" i="4"/>
  <c r="H11" i="4" l="1"/>
  <c r="H38" i="4" s="1"/>
  <c r="G45" i="4" s="1"/>
  <c r="H46" i="1"/>
  <c r="G44" i="4" l="1"/>
  <c r="G43" i="4"/>
  <c r="G42" i="4"/>
  <c r="G40" i="4"/>
  <c r="G41" i="4"/>
  <c r="G48" i="4" s="1"/>
  <c r="G47" i="4"/>
  <c r="A12" i="1"/>
  <c r="A13" i="1" s="1"/>
  <c r="A14" i="1" s="1"/>
  <c r="A15" i="1" s="1"/>
  <c r="A31" i="1"/>
  <c r="A32" i="1" s="1"/>
  <c r="A33" i="1" s="1"/>
  <c r="G31" i="1"/>
  <c r="G33" i="1"/>
  <c r="D22" i="1"/>
  <c r="D28" i="1"/>
  <c r="D18" i="1"/>
  <c r="D12" i="1"/>
  <c r="H48" i="4" l="1"/>
  <c r="H49" i="4" s="1"/>
  <c r="G22" i="1"/>
  <c r="H21" i="1" s="1"/>
  <c r="A22" i="1"/>
  <c r="G13" i="1" l="1"/>
  <c r="G14" i="1"/>
  <c r="G15" i="1"/>
  <c r="G12" i="1"/>
  <c r="H11" i="1" s="1"/>
  <c r="G19" i="1"/>
  <c r="G18" i="1"/>
  <c r="H17" i="1" l="1"/>
  <c r="C32" i="1"/>
  <c r="G32" i="1"/>
  <c r="H30" i="1" s="1"/>
  <c r="G28" i="1"/>
  <c r="H27" i="1" s="1"/>
  <c r="C28" i="1"/>
  <c r="A28" i="1"/>
  <c r="A18" i="1"/>
  <c r="A19" i="1" s="1"/>
  <c r="C19" i="1"/>
  <c r="A24" i="1" l="1"/>
  <c r="A36" i="1" s="1"/>
  <c r="C25" i="1" l="1"/>
  <c r="C35" i="1"/>
  <c r="C18" i="1"/>
  <c r="G36" i="1" l="1"/>
  <c r="H35" i="1" s="1"/>
  <c r="G25" i="1"/>
  <c r="H24" i="1" s="1"/>
  <c r="H38" i="1" l="1"/>
  <c r="A25" i="1"/>
  <c r="G47" i="1" l="1"/>
  <c r="G41" i="1"/>
  <c r="G48" i="1" s="1"/>
  <c r="G45" i="1"/>
  <c r="G42" i="1"/>
  <c r="G44" i="1"/>
  <c r="G43" i="1"/>
  <c r="G40" i="1"/>
  <c r="N11" i="1"/>
  <c r="L11" i="1"/>
  <c r="L10" i="1"/>
  <c r="H48" i="1" l="1"/>
  <c r="H49" i="1" s="1"/>
</calcChain>
</file>

<file path=xl/sharedStrings.xml><?xml version="1.0" encoding="utf-8"?>
<sst xmlns="http://schemas.openxmlformats.org/spreadsheetml/2006/main" count="747" uniqueCount="257">
  <si>
    <t>No.</t>
  </si>
  <si>
    <t>UNID</t>
  </si>
  <si>
    <t>P. U.</t>
  </si>
  <si>
    <t>VALOR (RD$)</t>
  </si>
  <si>
    <t>SUBTOTAL (RD$)</t>
  </si>
  <si>
    <t>GASTOS INDIRECTOS:</t>
  </si>
  <si>
    <t>DESCRIPCION</t>
  </si>
  <si>
    <t>perpi</t>
  </si>
  <si>
    <t>bartolo</t>
  </si>
  <si>
    <t>richard</t>
  </si>
  <si>
    <t>vidrio</t>
  </si>
  <si>
    <t>shetrock</t>
  </si>
  <si>
    <t>UD</t>
  </si>
  <si>
    <t>PRELIMINARES</t>
  </si>
  <si>
    <t>Bote de escombros producto de las demoliciones.</t>
  </si>
  <si>
    <t>Desmantelamiento de muros de sheetrock.</t>
  </si>
  <si>
    <t>PINTURA</t>
  </si>
  <si>
    <t>MISCELANEOS</t>
  </si>
  <si>
    <t>ML</t>
  </si>
  <si>
    <t>P.A.</t>
  </si>
  <si>
    <t>SUB-TOTAL</t>
  </si>
  <si>
    <t>CANT.</t>
  </si>
  <si>
    <t>VOLUMETRIA</t>
  </si>
  <si>
    <t>Gastos administrativos</t>
  </si>
  <si>
    <t>Direccion tecnica  y administrativa</t>
  </si>
  <si>
    <t>Transporte</t>
  </si>
  <si>
    <t>Seguros y fianzas</t>
  </si>
  <si>
    <t>Fondos pensiones y jubilaciones</t>
  </si>
  <si>
    <t>Imprevistos</t>
  </si>
  <si>
    <t>Codia   1 x 1000</t>
  </si>
  <si>
    <t>ITBIS ( 18% del 10% Subtotal)</t>
  </si>
  <si>
    <t>SUB-TOTAL GENERAL GASTOS GENERALES</t>
  </si>
  <si>
    <t>Elaborado por:</t>
  </si>
  <si>
    <t>Revisado y Aprobado por:</t>
  </si>
  <si>
    <t>PROGRESANDO CON SOLIDARIDAD</t>
  </si>
  <si>
    <t>SERVICIOS GENERALES PROGRESANDO CON SOLIDARIDAD, PROSOLI</t>
  </si>
  <si>
    <t>OFICINAS ADMINISTRATIVAS</t>
  </si>
  <si>
    <t xml:space="preserve">PRESUPUESTO </t>
  </si>
  <si>
    <t>DIVISIONES</t>
  </si>
  <si>
    <r>
      <t>M</t>
    </r>
    <r>
      <rPr>
        <sz val="20"/>
        <color theme="1"/>
        <rFont val="Calibri"/>
        <family val="2"/>
      </rPr>
      <t>²</t>
    </r>
  </si>
  <si>
    <t>PISOS Y REVESTIMIENTOS</t>
  </si>
  <si>
    <t>PLAFONES</t>
  </si>
  <si>
    <t>PA</t>
  </si>
  <si>
    <t>INSTALACIONES ELECTRICAS</t>
  </si>
  <si>
    <t>Limpieza final</t>
  </si>
  <si>
    <t>Desmonte de salidas y accesorios de tomacorrientes existentes</t>
  </si>
  <si>
    <t>Desmonte de salidas y accesorios de data existentes</t>
  </si>
  <si>
    <t>Suministro y colocación de pintura semigloss en muros interiores dos capas, sin andamios. Color a definir.</t>
  </si>
  <si>
    <t>Suministro y colocacion de zocalos de granito similar al piso existente</t>
  </si>
  <si>
    <t>Construccion muros en SHEETROCK a dos caras, de varias alturas .</t>
  </si>
  <si>
    <t>Reubicacion de salidas para data existente</t>
  </si>
  <si>
    <t>Reubicacion de salidas para data doble existente</t>
  </si>
  <si>
    <t>Suministro e intalacion de salida para data nuevas</t>
  </si>
  <si>
    <t>Suministro e instalacion de angular para terminacion de plafon en nuevos Sheetrock</t>
  </si>
  <si>
    <t>Resane de muros en Sheetrock en aperturas de huecos y movimiento de salidas de datas y electricas</t>
  </si>
  <si>
    <t>AGRICULTURA FAMILIAR, SALUD EMOCIONAL, COMPONENTE DE DOTACION DE DOCUMENTOS, VINCULACION, INCLUSION Y AUTISMO, TECNOLOGIA.</t>
  </si>
  <si>
    <t>PREVENCION EN SALUD Y RED DE FRATERNIDAD</t>
  </si>
  <si>
    <t>Apertura de huecos en muros de sheetrock(tres de 0.90x2.10 y uno de 1.27x2.10)</t>
  </si>
  <si>
    <t>Desmonte de plafon existente</t>
  </si>
  <si>
    <t>Construccion de muros en SHEETROCK a dos caras, altura 2.70m.</t>
  </si>
  <si>
    <t>Cierre de huecos de puertas en sheetrock a dos caras ,altura 2.10m</t>
  </si>
  <si>
    <t>Resane y terminacion de aperturas de hueco de puerta en muro de Sheetrock (incluye refuerzo de huecos para puertas)</t>
  </si>
  <si>
    <t>Suministro y colocacion de zocalos de goma en muros de sheetrock</t>
  </si>
  <si>
    <t>Pulido y cristalizado de piso de granito</t>
  </si>
  <si>
    <t>Suministro e instalacion plafon mineral tipo pebbled 2x2</t>
  </si>
  <si>
    <t>Suministro e instalación de lámpara con tubo LED 36W/2T/110V tipo 2x4 para plafon</t>
  </si>
  <si>
    <t>Suministro e intalacion de salida para tomacorrientes nuevos</t>
  </si>
  <si>
    <t>Suministro e intalacion de salida para tomacorrientes naranja nuevos</t>
  </si>
  <si>
    <t>Suministro e intalacion de salida para interruptor sencillo</t>
  </si>
  <si>
    <t>Reubicacion de salidas tomacorrientes existente</t>
  </si>
  <si>
    <t>Limpieza continua y final</t>
  </si>
  <si>
    <t>Dirección técnica  y administrativa</t>
  </si>
  <si>
    <t xml:space="preserve"> </t>
  </si>
  <si>
    <t>SUB-TOTAL GENERAL GASTOS INDIRECTOS</t>
  </si>
  <si>
    <t xml:space="preserve">TOTAL GENERAL </t>
  </si>
  <si>
    <t>READECUACION PROVINCIAL MONTE PLATA</t>
  </si>
  <si>
    <r>
      <t>CONSTRUCCION RAMPA incluye:</t>
    </r>
    <r>
      <rPr>
        <sz val="20"/>
        <rFont val="Times New Roman"/>
        <family val="1"/>
      </rPr>
      <t xml:space="preserve"> Suministro y colocación  CERAMICA ANTIDESLIZANTE ALTO TRAFICO en rampa para discapacitados.</t>
    </r>
  </si>
  <si>
    <t>MUROS</t>
  </si>
  <si>
    <t>Muros en Sheetrock, h=3.12m</t>
  </si>
  <si>
    <r>
      <t>M</t>
    </r>
    <r>
      <rPr>
        <sz val="20"/>
        <rFont val="Calibri"/>
        <family val="2"/>
      </rPr>
      <t>²</t>
    </r>
  </si>
  <si>
    <t>Muros en Densglass, h=3.12m</t>
  </si>
  <si>
    <t>TERMINACIÓN DE PISOS Y REVESTIMIENTOS</t>
  </si>
  <si>
    <t>Suministro y colocación  CERAMICA ANTIDESLIZANTE ALTO TRAFICO en rampa para discapacitados.</t>
  </si>
  <si>
    <t>Suministro y colocación de Zócalos de goma en muros nuevos</t>
  </si>
  <si>
    <t>Suministro y colocación CERAMICA CRIOLLA TIPO 05 en muros de baños</t>
  </si>
  <si>
    <t>Suministro y colocación CERAMICA CRIOLLA TIPO 05 en muros de cocina.</t>
  </si>
  <si>
    <t>PUERTAS Y VENTANAS</t>
  </si>
  <si>
    <t>Suministro e instalación puertas en aluminio perfileria P-40 (0.90 m x 2.10 m) con vidrio claro de 3/8" y laminado de seguridad. Ver detalle en planos.</t>
  </si>
  <si>
    <t>Suministro y colocación de puertas lisas polimetálicas de 0.90m x 2.10m, con llavín de palanca de buena calidad</t>
  </si>
  <si>
    <t>Suministro e instalación de puertas de vidrio flotantes de (1.00m x 2.10m), incluye templado y canteado de vidrio y kit de instalación de acero inoxidable</t>
  </si>
  <si>
    <t>Suministro y colocacion laminado frost en puertas de cristal y paños fijos. Diseño a definir.</t>
  </si>
  <si>
    <t>p2</t>
  </si>
  <si>
    <t>Suministro y colocación de ventanas correderas P65 de aluminio y vidrio</t>
  </si>
  <si>
    <r>
      <t>P</t>
    </r>
    <r>
      <rPr>
        <sz val="22"/>
        <rFont val="Calibri"/>
        <family val="2"/>
      </rPr>
      <t>²</t>
    </r>
  </si>
  <si>
    <t>INSTALACIONES SANITARIAS</t>
  </si>
  <si>
    <t xml:space="preserve">Construcción de trampa de grasa de (1.00m x 1.00m x 1.00m) </t>
  </si>
  <si>
    <t>Suministro y colocación de Tubería soterrada de recolección de aguas residuales de 4´´ PVC SDR-41 Hprom = 0.60m y Tubería soterrada de alimentación de agua potable de 3/4´´ PVC SCH-40.</t>
  </si>
  <si>
    <t>Desagües de piso de 2´´, incluye la salida de descarga</t>
  </si>
  <si>
    <t>Instalacion tinaco existente. Incluye materiales y accesorios.</t>
  </si>
  <si>
    <t>Suministro y colocación de fregadero, incluye salidas de alimentación  y de descarga</t>
  </si>
  <si>
    <t>Suministro y colocación de inodoro de porcelana de fluxómetro, incluye salidas de alimentación  y de descarga</t>
  </si>
  <si>
    <t>Suministro y colocación de lavamanos con pedestal, incluye salidas de alimentación  y de descarga</t>
  </si>
  <si>
    <t>Suministro y colocación accesorios de baño: (1) dispensador de papel rolo, (1) portapapel servilleta, (1) dispensador jabon liquido y (1)  espejo biselado de 2 x  2 p.</t>
  </si>
  <si>
    <t>Suministro y colocación de barras para minusválidos</t>
  </si>
  <si>
    <t>Suministro e instalación de lámpara Led tipo (2x4) pies de superficie</t>
  </si>
  <si>
    <t>Suministro e instalación de lámpara Led de panel de 10" de diametro redonda.</t>
  </si>
  <si>
    <t>Salida de data sencillas</t>
  </si>
  <si>
    <t>Salida de data doble</t>
  </si>
  <si>
    <t>Salida de interruptor sencillo</t>
  </si>
  <si>
    <t>Suministro e instalacion de extractor en baños y cocina</t>
  </si>
  <si>
    <t>Suministro e intalacion de aire acondicionado de 12,000 BTU</t>
  </si>
  <si>
    <t>Suministro y colocacion de pintura semigloss en muros interiores dos capas, sin andamios. Color a definir.</t>
  </si>
  <si>
    <t>Suministro y colocacion de pintura acrilica en muros exteriores dos capas, sin andamios. Color a definir.</t>
  </si>
  <si>
    <t>Suministro y colocacion de pintura acrilica en techos. Color a definir.</t>
  </si>
  <si>
    <t>Suministro y colocación de rótulos de sintra y vinil de 14"x5"(Nombres a definir)</t>
  </si>
  <si>
    <t xml:space="preserve">  16,98</t>
  </si>
  <si>
    <t>Gabinetes de caoba en piso.</t>
  </si>
  <si>
    <t xml:space="preserve">  16,99 </t>
  </si>
  <si>
    <t>PL</t>
  </si>
  <si>
    <t>Gabinetes de caoba en pared.</t>
  </si>
  <si>
    <t xml:space="preserve">  18,07 </t>
  </si>
  <si>
    <t>Tope de granito sobre gabinete de piso</t>
  </si>
  <si>
    <t xml:space="preserve">  33,44 </t>
  </si>
  <si>
    <t xml:space="preserve">Suministro e instalacion Cristal de 3/8",3.40 mts  x 0.70 mts para tope, cristal canteado de 3/8" de 3.40 mts  x  1.00mts para fachada frontal y (2) de 0.70 x 1.00 mts para division posiciones counter Punto Solidario, canteado y templado. Incluye accesorios de instalacion. </t>
  </si>
  <si>
    <t>Limpieza continua y Final</t>
  </si>
  <si>
    <t>READECUACION REGIONAL SAN PEDRO</t>
  </si>
  <si>
    <t>EXCLUYENDO CLIMATIZACION</t>
  </si>
  <si>
    <t>Desmonte de equipos sanitarios en primer nivel</t>
  </si>
  <si>
    <t>Muros en Sheetrock, h=3.30m</t>
  </si>
  <si>
    <t>Muros en Densglass, h=3.30m</t>
  </si>
  <si>
    <t xml:space="preserve">Confeccion counter en Securock. Dimensiones: 3.91 x 0.80 mts y 0.80 mts de altura terminada. </t>
  </si>
  <si>
    <t>P.A</t>
  </si>
  <si>
    <t xml:space="preserve">Suministro y colocación de pisos de cerámica española </t>
  </si>
  <si>
    <t>Suministro y colocación de cerámicas españolas para revestimientos de muros de baños. H=2.00 mts</t>
  </si>
  <si>
    <t>Suministro y colocación de zocalos en porcelanatoen nuevos muros de sheetrock</t>
  </si>
  <si>
    <t>Ml</t>
  </si>
  <si>
    <t>Suministro e instalacion de puertas en cristal (0.80*2.10) acceso area oficinas.</t>
  </si>
  <si>
    <t>Suministro e instalacion de puertas en cristal (0.90*2.10).</t>
  </si>
  <si>
    <t>Suministro e Instalación de puerta en polimetal (baño minusválido, almacen y cocina ) (0.90*2.10).</t>
  </si>
  <si>
    <t>Laminado frost en puertas de cristal y paños fijos. Diseño a definir.</t>
  </si>
  <si>
    <t>P2</t>
  </si>
  <si>
    <t xml:space="preserve">Suministro e Instalacion cristal de 3/8 ,3.91 x 0.70 mts para tope, crisal cantaeado de 3/8" 3.91 x 1.00 mts para fachada superior counter y cristal de 0.70 x 1.00 mts para division posiciones counter Punto Solidario, canteado y templado, incluye accesorios de instalacion. </t>
  </si>
  <si>
    <t>Suministro e instalación de Plafón Comercial Fisurado Mineral en oficinas</t>
  </si>
  <si>
    <t xml:space="preserve">Construcción de registro sanitarios de (0.50m x 0.50m x 0.50m) </t>
  </si>
  <si>
    <t>Suministro y colocación de Tubería soterrada de recolección de aguas residuales de 4´´ PVC SDR-41 Lprom = 0.60m</t>
  </si>
  <si>
    <t>Suministro y colocación de Tubería soterrada de alimentación de agua potable de 3/4´´ PVC SCH-40</t>
  </si>
  <si>
    <t>Suministro y colocación de inodoro de porcelana incluye salidas de alimentación  y de descarga</t>
  </si>
  <si>
    <t xml:space="preserve">Suministro y colocación de lavamanos con pedestal, incluye salidas de alimentación  y de descarga </t>
  </si>
  <si>
    <t>Suministro y colocación de lavamanos, incluye salidas de alimentación  y de descarga, para baño de discapacitados</t>
  </si>
  <si>
    <t>Suministro y colocación de dispensador de jabón liquido con soporte</t>
  </si>
  <si>
    <t>Suministro y colocación de dispensador de papel sanitario plástico</t>
  </si>
  <si>
    <t>Suministro y colocación de dispensador de papel toalla plástico y manual</t>
  </si>
  <si>
    <t>Suministro y colocación de espejo para baño</t>
  </si>
  <si>
    <t>Suministro y colocación de barra acero inoxidable de 1 1/2" y 80 cms de largo para apoyo en asiento de inodoro  para minusválidos</t>
  </si>
  <si>
    <t>Suministro e instalación de lámpara Led tipo (2x4) pies para plafond.</t>
  </si>
  <si>
    <t>Suministro e instalación de lámpara Led tipo (2x2) pies para plafond.</t>
  </si>
  <si>
    <t>Suministro e instalacion de salida cenital.</t>
  </si>
  <si>
    <t xml:space="preserve">Salida de tomacorriente 110V </t>
  </si>
  <si>
    <t xml:space="preserve">Salida de data </t>
  </si>
  <si>
    <t>Salida de interruptor Doble</t>
  </si>
  <si>
    <t>Suministro e instalacion de extractor en baño y cocina</t>
  </si>
  <si>
    <t>Suministro y colocacion de pintura acrilica en muros exteriores dos capas, con andamios. Color a definir.</t>
  </si>
  <si>
    <t>Suministro y colocacion de pintura acrilica en techos 3er nivel.</t>
  </si>
  <si>
    <t>NOTA:  El suplidor seleccionado por el Dpto. de Compras, debera cumplir con  el uso de chaleco, mascarillas, guantes, botas, gafas y toda la indumentaria requerida para la ejecucion de estos trabajos.</t>
  </si>
  <si>
    <t>NOTA:  El suplidor seleccionado por el Dpto. de Compras, debera cumplir con  el uso de las herramientas adecuadas para la ejecucion de estos trabajos.</t>
  </si>
  <si>
    <t xml:space="preserve">NOTA:  El suplidor seleccionado por el Dpto. de Compras, No podra iniciar la ejecucion de estos trabajos sin previa coordinacion con la Supervision de Servicios Generales. </t>
  </si>
  <si>
    <t>REORGANIZACION ESPACIAL OFICINAS ADMINISTRATIVAS</t>
  </si>
  <si>
    <t xml:space="preserve"> DIRECCION DE OPERACIONES Y TECNOLOGIA</t>
  </si>
  <si>
    <t>Desmonte de Puertas en cristal 2.10 m x 0.90 m. Incluye marcos. (6) sencillas + ( 1) Doble.</t>
  </si>
  <si>
    <t>Desmonte de Puerta en madera 2.10 m x 0.90 m. Incluye marcos y jambas. (2) Sencilla.</t>
  </si>
  <si>
    <t>Desmantelamiento plafon comercial</t>
  </si>
  <si>
    <t>M2</t>
  </si>
  <si>
    <t>Desmantelamiento salidas y accesorios de interruptores existentes.</t>
  </si>
  <si>
    <t>Desmantelamiento salidas y accesorios de tomacorrientes existentes.</t>
  </si>
  <si>
    <t>Desmonte de lámpara fluorescente 2'x4' de 32 watt en salida existente.</t>
  </si>
  <si>
    <t>SHEETROCK Y FACIAS</t>
  </si>
  <si>
    <t>Construccion muros en sheetrock a dos caras, de 2.45 m de altura, incluye refuerzo de madera tratada en (4) huecos de puertas, cristal fijo y en las instalaciones eléctricas. Estructura en perfiles metálicos de 2.5 lámina de acero galvanizado en calibre 26. Ver planos y secciones.</t>
  </si>
  <si>
    <t xml:space="preserve">PAÑOS FIJO Y PUERTAS </t>
  </si>
  <si>
    <r>
      <t>Suministro e instalación en paños de cristal fijo de (</t>
    </r>
    <r>
      <rPr>
        <sz val="20"/>
        <rFont val="Times New Roman"/>
        <family val="1"/>
      </rPr>
      <t>2.95</t>
    </r>
    <r>
      <rPr>
        <sz val="20"/>
        <color theme="1"/>
        <rFont val="Times New Roman"/>
        <family val="1"/>
      </rPr>
      <t xml:space="preserve"> m x 2.42 m) con perfil natural P40 y con tonalidad Blue -Green de 3/8" con laminado de seguridad. Ver detalle en planos y secciones.</t>
    </r>
  </si>
  <si>
    <t>Suministro e instalación (4) paños de cristal fijo de (2.11, 2.21, 2.26, 2.23 m x 1.20 m) con perfil natural P40 y con tonalidad Blue -Green de 3/8" con laminado de seguridad. Ver detalle en planos y secciones.</t>
  </si>
  <si>
    <t>Suministro e instalación puertas en aluminio perfileria P-40 (1.00 m x 2.10 m) con vidrio claro de 3/8" y laminado de seguridad. Ver detalle en planos y secciones. P-2.</t>
  </si>
  <si>
    <t>Suministro e instalación puertas en aluminio perfileria P-40 (0.90 m x 2.10 m) con vidrio claro de 3/8" y laminado de seguridad. Ver detalle en planos y secciones. P-2.</t>
  </si>
  <si>
    <t>INSTALACION ELECTRICA</t>
  </si>
  <si>
    <t>Suministro e instalación de interruptor sencillo tipo Bticino residencial de 15 AMP 125 voltio, color blanco empotrado en muros de sheetrock con tuberias PVC de  1/2". Alambre THHN #12, Altura 1.20mts.</t>
  </si>
  <si>
    <t>Salida. Suministro e instalación Tomacorriente tipo Bticino doble, Grado Residencial de 15 AMP 125 voltio, color blanco en tubería pvc de 3/4" empotrado en muros de sheetrock. Alambre THHN #12, Altura .40 mts.</t>
  </si>
  <si>
    <t>Suministro e intalacion de salida para tomacorriente 110V, color naranja para UPS</t>
  </si>
  <si>
    <t>Reinstalación de lámparas fluorescente 2'x4' de 32 watt en salida existente.</t>
  </si>
  <si>
    <t>Suministro e intalacion de salida para data</t>
  </si>
  <si>
    <t>Reubicación de difusor de Aire acondicionador 12"x12" incluye manga.</t>
  </si>
  <si>
    <t>Suministro e instalación de tubos led de 18 watts frosted</t>
  </si>
  <si>
    <t>Suministro e instalación de lámparas fluorescente 2'x4' de 32 watt</t>
  </si>
  <si>
    <t>Aplicación de Pintura en muros interior semigloss, dos manos.</t>
  </si>
  <si>
    <t>REVESTIMIENTOS DE PISOS</t>
  </si>
  <si>
    <t>Suministro y Colocación de Pisos de Porcelanato anti mancha</t>
  </si>
  <si>
    <t>Suministro y Colocación de zocalos de Porcelanato anti mancha</t>
  </si>
  <si>
    <t>Sumnistro e instalación de plafón comercial de 2" x 2".</t>
  </si>
  <si>
    <t>Limpieza general y continua. Inlcuye recogida y bote de escombros, aspiradora en todas las areas incluyendo plafon y desinfeccion con ozono.</t>
  </si>
  <si>
    <t xml:space="preserve"> TOTAL GENERAL GASTOS GENERALES</t>
  </si>
  <si>
    <t xml:space="preserve">Desmonte y demolicion de planfond </t>
  </si>
  <si>
    <t xml:space="preserve">Desmonte de Puerta en madera 2.10 m x 0.90 m. Incluye marcos y jambas. </t>
  </si>
  <si>
    <t>Desmonte de lampara tipo 2x4</t>
  </si>
  <si>
    <t>Desmonte de lampara tipo 2x2</t>
  </si>
  <si>
    <t xml:space="preserve">Apertura y terminacion hueco de puerta de 0.90 x 2.10 mts en muros de blocks en cuarto electrico y data proximo a los baños. </t>
  </si>
  <si>
    <t>Desmonte de salida y accesorio de interruptor existente</t>
  </si>
  <si>
    <t>Construccion muros en SHEETROCK a dos caras, de 2.60mts de altura.</t>
  </si>
  <si>
    <t>Suministro e instalacion de paños de vidrios fijos con perfil P40 y vidrio de 3/8" natural templado</t>
  </si>
  <si>
    <t>Suministro e colocacion fibra de vidrio para muros perimetrales Salon de Reuniones.</t>
  </si>
  <si>
    <t>Cristalizado de piso</t>
  </si>
  <si>
    <t>Suministro e instalacion de Plafond Comercial Fisurado Mineral</t>
  </si>
  <si>
    <t>PORTAJE</t>
  </si>
  <si>
    <t xml:space="preserve">Suministro e instalacion de puerta de en cristal flotante (0.90*2.10)mts, </t>
  </si>
  <si>
    <t xml:space="preserve">Suministro e instalacion de puerta de en cristal flotante (1.00*2.10)mts, </t>
  </si>
  <si>
    <t>Suministro e instalacion de puerta polimetalica color blanca lisa (0.90*2.10)mts, incluye llavin</t>
  </si>
  <si>
    <t xml:space="preserve">Instalacion de puerta de madera existente en cuarto electrico camino a los baños(0.90*2.10)mts, </t>
  </si>
  <si>
    <t>Suministro e instalación de lámpara de tubos led de 2'x4' para plafón, con difusor tipo frost.</t>
  </si>
  <si>
    <t>Instalación de lámpara existente de tubos led de 2'x4' para plafón, con difusor tipo frost.</t>
  </si>
  <si>
    <t>Instalación de lámpara existente de tubos led de 2'x2' para plafón, con difusor tipo frost.</t>
  </si>
  <si>
    <t>Suministro e intalacion de salida para interruptor doble</t>
  </si>
  <si>
    <t>Intalacion de salida existente para tomacorriente 110V</t>
  </si>
  <si>
    <t>Suministro e intalacion de salida para tomacorriente 110V</t>
  </si>
  <si>
    <t>Intalacion de salida para tomacorriente 110V Existente, color naranja para UPS</t>
  </si>
  <si>
    <t>Intalacion de salida para data</t>
  </si>
  <si>
    <t>TOTAL GENERAL</t>
  </si>
  <si>
    <r>
      <t>M</t>
    </r>
    <r>
      <rPr>
        <sz val="16"/>
        <rFont val="Calibri"/>
        <family val="2"/>
      </rPr>
      <t>²</t>
    </r>
  </si>
  <si>
    <r>
      <t>P</t>
    </r>
    <r>
      <rPr>
        <sz val="16"/>
        <rFont val="Calibri"/>
        <family val="2"/>
      </rPr>
      <t>²</t>
    </r>
  </si>
  <si>
    <t>CAPACITACION, NIÑOS, NIÑAS Y ADOLESCENTES HUERFANOS POR FEMINICIDIOS, VOLVER A EMPEZAR PROGRESANDO UNIDOS Y NUEVO SALON DE REUNIONES.</t>
  </si>
  <si>
    <t>HABILITACION LOCAL ATC SANTIAGO 2da PROPUESTA</t>
  </si>
  <si>
    <t>ALBAÑILERIA</t>
  </si>
  <si>
    <t>Confeccion de rampas para personas con discapacidad. (1) 1.50 x 0.40 mts para acceso desde nivel de la calle hasta nivel acera. (1) de 1.50  x 1.20 mts para acceso desde acera al nivel interior del local.</t>
  </si>
  <si>
    <t>DIVISIONES INTERIORES</t>
  </si>
  <si>
    <t>Construccion muro en sheetrock a dos caras, (1) de 4.85 x 2.70 mts y (1) de Incluye reforzamiento para instalacion de (3) puertas de polimetal y (1) puerta polimetal.</t>
  </si>
  <si>
    <t>Construccion facia en sheetrock (1) de 5.90x 0.91x 0.20 de alto. Incluye (3) salidas para iluminacion de techo.</t>
  </si>
  <si>
    <t xml:space="preserve">Confeccion counter en Securock. Dimensiones: 3.84 x 0.91 mts y 0.80 mts de altura terminada. </t>
  </si>
  <si>
    <t>ELECTRICIDAD</t>
  </si>
  <si>
    <r>
      <t xml:space="preserve">Salida y suministro e instalacion de data, para insertar un puerto </t>
    </r>
    <r>
      <rPr>
        <u val="singleAccounting"/>
        <sz val="20"/>
        <rFont val="Times New Roman"/>
        <family val="1"/>
      </rPr>
      <t xml:space="preserve">en Canaletas </t>
    </r>
    <r>
      <rPr>
        <sz val="20"/>
        <rFont val="Times New Roman"/>
        <family val="1"/>
      </rPr>
      <t>plasticas 105 x65mm x 2 mts</t>
    </r>
    <r>
      <rPr>
        <sz val="20"/>
        <color theme="0"/>
        <rFont val="Times New Roman"/>
        <family val="1"/>
      </rPr>
      <t xml:space="preserve">. </t>
    </r>
    <r>
      <rPr>
        <sz val="20"/>
        <rFont val="Times New Roman"/>
        <family val="1"/>
      </rPr>
      <t xml:space="preserve">Ver detalle de planos. </t>
    </r>
  </si>
  <si>
    <t>Salida, suministro e instalacion en Canaletas plasticas 105 x65mm x 2 mts, para Tomacorriente tipo Biticino doble, Grado residencial 15 AMP 125 Volt para UPS.Incluye accesorios tipo Biticino.</t>
  </si>
  <si>
    <t xml:space="preserve">Salida, suministro e instalacion para Interruptor sencillo tipo Biticino, Grado residencial 15 AMP 125 voltio, color blanco ,en tuberias PVC 1/2" empostrada en muro sheetrock, Alambre THHN#12. Altura igual a la existente ( 1.20 mts). </t>
  </si>
  <si>
    <t>Suministro e instalacion Lamparas tipo ojos de buey de 4" con tubos led.</t>
  </si>
  <si>
    <t xml:space="preserve">Salida, suministro e instalacion en Canaletas plasticas 1" x 2 mts, para Lamparas de superficie 2x4 con tubos led de 18 vatios T8 frost.   </t>
  </si>
  <si>
    <t>CLIMATIZACION</t>
  </si>
  <si>
    <t>Alimentacion para aires acondicionados</t>
  </si>
  <si>
    <t xml:space="preserve">Suministro e instalacion aire acondicionado tipo inverter de 18 mil btu en ATC </t>
  </si>
  <si>
    <t>Suministro e instalacion aire acondicionado tipo inverter de 24 mil btu en oficina administrativa.</t>
  </si>
  <si>
    <t>Suministro e instalacion puerta en polimetal color blanco.</t>
  </si>
  <si>
    <t>Suministro e instalacion puerta en cristal con perfileria P-40 color blanco.</t>
  </si>
  <si>
    <t xml:space="preserve">Suministro e Instalacion cristal de 3/8 ,3.90 x 0.70 mts para tope, crisal cantaeado de 3/8" 3.90 x 1.00 mts para fachada superior counter y cristal de 0.70 x 1.00 mts para division posiciones counter Punto Solidario, canteado y templado, incluye accesorios de instalacion. </t>
  </si>
  <si>
    <t xml:space="preserve">Laminado frost en puertas de cristal y paños fijos. Diseño a definir. </t>
  </si>
  <si>
    <t>Aplicación de Pintura en muros interior semigloss, dos manos. A todo costo.</t>
  </si>
  <si>
    <t>Aplicación de Pintura acrilica en exterior, dos manos. A todo costo.</t>
  </si>
  <si>
    <t>Suministro y colocación ceramica de pared en area cocinilla. Color a definir.</t>
  </si>
  <si>
    <t>Suministro e instalacion tope en granito para cocinilla 1.50 x 0.60 mts</t>
  </si>
  <si>
    <t>Suministro e instalacion gabinete aereo en aluminio y cristal  1.50x 0.60 mts</t>
  </si>
  <si>
    <t>Suministro e instalacion gabinete de piso en aluminio y cristal  1.50 x 0.85 mts</t>
  </si>
  <si>
    <t>Suministro e instalacion plafon comercial biselado 2 x 2.</t>
  </si>
  <si>
    <t>Suministro e instalacion zocalos en material similar al piso existente. Definir al iniciar ejecucion.</t>
  </si>
  <si>
    <t>Pulido y cristalizado de piso</t>
  </si>
  <si>
    <t>TOTAL GENERAL GASTOS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</si>
</sst>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\ &quot;pta&quot;_);_(* \(#,##0\ &quot;pta&quot;\);_(* &quot;-&quot;??\ &quot;pta&quot;_);_(@_)"/>
    <numFmt numFmtId="168" formatCode="_([$$-409]* #,##0.00_);_([$$-409]* \(#,##0.00\);_([$$-409]* &quot;-&quot;??_);_(@_)"/>
    <numFmt numFmtId="169" formatCode="_-* #,##0.00\ _€_-;\-* #,##0.00\ _€_-;_-* &quot;-&quot;??\ _€_-;_-@_-"/>
    <numFmt numFmtId="170" formatCode="_-[$RD$-1C0A]* #,##0.00_-;\-[$RD$-1C0A]* #,##0.00_-;_-[$RD$-1C0A]* &quot;-&quot;??_-;_-@_-"/>
    <numFmt numFmtId="171" formatCode="&quot;$&quot;#,##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Times New Roman"/>
      <family val="1"/>
    </font>
    <font>
      <sz val="20"/>
      <color rgb="FFFF0000"/>
      <name val="Calibri"/>
      <family val="2"/>
      <scheme val="minor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2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</font>
    <font>
      <sz val="11"/>
      <color rgb="FFFF0000"/>
      <name val="Calibri"/>
      <family val="2"/>
      <scheme val="minor"/>
    </font>
    <font>
      <b/>
      <u val="singleAccounting"/>
      <sz val="20"/>
      <color theme="1"/>
      <name val="Times New Roman"/>
      <family val="1"/>
    </font>
    <font>
      <b/>
      <sz val="20"/>
      <name val="Times New Roman"/>
      <family val="1"/>
    </font>
    <font>
      <sz val="20"/>
      <name val="Calibri"/>
      <family val="2"/>
      <scheme val="minor"/>
    </font>
    <font>
      <b/>
      <sz val="16"/>
      <name val="Times New Roman"/>
      <family val="1"/>
    </font>
    <font>
      <sz val="11"/>
      <name val="Times New Roman"/>
      <family val="1"/>
    </font>
    <font>
      <sz val="20"/>
      <name val="Calibri"/>
      <family val="2"/>
    </font>
    <font>
      <sz val="22"/>
      <name val="Times New Roman"/>
      <family val="1"/>
    </font>
    <font>
      <sz val="22"/>
      <name val="Calibri"/>
      <family val="2"/>
    </font>
    <font>
      <sz val="11"/>
      <color rgb="FFFF0000"/>
      <name val="Times New Roman"/>
      <family val="1"/>
    </font>
    <font>
      <sz val="18"/>
      <name val="Times New Roman"/>
      <family val="1"/>
    </font>
    <font>
      <b/>
      <u val="singleAccounting"/>
      <sz val="20"/>
      <name val="Times New Roman"/>
      <family val="1"/>
    </font>
    <font>
      <b/>
      <sz val="11"/>
      <name val="Times New Roman"/>
      <family val="1"/>
    </font>
    <font>
      <sz val="20"/>
      <color rgb="FFFF0000"/>
      <name val="Times New Roman"/>
      <family val="1"/>
    </font>
    <font>
      <sz val="14"/>
      <color theme="1"/>
      <name val="Times New Roman"/>
      <family val="1"/>
    </font>
    <font>
      <b/>
      <sz val="20"/>
      <color rgb="FFFF0000"/>
      <name val="Times New Roman"/>
      <family val="1"/>
    </font>
    <font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8"/>
      <color theme="1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22"/>
      <name val="Times New Roman"/>
      <family val="1"/>
    </font>
    <font>
      <sz val="22"/>
      <color theme="1"/>
      <name val="Calibri"/>
      <family val="2"/>
      <scheme val="minor"/>
    </font>
    <font>
      <u val="singleAccounting"/>
      <sz val="20"/>
      <name val="Times New Roman"/>
      <family val="1"/>
    </font>
    <font>
      <sz val="20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F9FE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678">
    <xf numFmtId="0" fontId="0" fillId="0" borderId="0" xfId="0"/>
    <xf numFmtId="166" fontId="10" fillId="0" borderId="0" xfId="1" applyFont="1"/>
    <xf numFmtId="166" fontId="8" fillId="0" borderId="0" xfId="1" applyFont="1" applyBorder="1" applyAlignment="1">
      <alignment horizontal="left" wrapText="1"/>
    </xf>
    <xf numFmtId="166" fontId="8" fillId="0" borderId="0" xfId="1" applyFont="1" applyBorder="1" applyAlignment="1">
      <alignment vertical="center" wrapText="1"/>
    </xf>
    <xf numFmtId="166" fontId="8" fillId="0" borderId="0" xfId="1" applyFont="1" applyBorder="1" applyAlignment="1">
      <alignment horizontal="center" vertical="center"/>
    </xf>
    <xf numFmtId="166" fontId="8" fillId="0" borderId="0" xfId="1" applyFont="1" applyBorder="1" applyAlignment="1">
      <alignment horizontal="center"/>
    </xf>
    <xf numFmtId="166" fontId="8" fillId="0" borderId="0" xfId="1" applyFont="1" applyBorder="1"/>
    <xf numFmtId="166" fontId="9" fillId="0" borderId="2" xfId="1" applyFont="1" applyBorder="1"/>
    <xf numFmtId="166" fontId="8" fillId="0" borderId="3" xfId="1" applyFont="1" applyBorder="1" applyAlignment="1">
      <alignment wrapText="1"/>
    </xf>
    <xf numFmtId="166" fontId="8" fillId="0" borderId="0" xfId="1" applyFont="1" applyBorder="1" applyAlignment="1">
      <alignment vertical="center"/>
    </xf>
    <xf numFmtId="166" fontId="10" fillId="0" borderId="0" xfId="1" applyFont="1" applyAlignment="1">
      <alignment vertical="center"/>
    </xf>
    <xf numFmtId="166" fontId="10" fillId="0" borderId="0" xfId="1" applyFont="1" applyBorder="1"/>
    <xf numFmtId="166" fontId="9" fillId="0" borderId="0" xfId="1" applyFont="1" applyBorder="1"/>
    <xf numFmtId="166" fontId="10" fillId="0" borderId="0" xfId="1" applyFont="1" applyAlignment="1">
      <alignment horizontal="left" wrapText="1"/>
    </xf>
    <xf numFmtId="166" fontId="10" fillId="0" borderId="0" xfId="1" applyFont="1" applyAlignment="1">
      <alignment vertical="center" wrapText="1"/>
    </xf>
    <xf numFmtId="166" fontId="10" fillId="0" borderId="0" xfId="1" applyFont="1" applyAlignment="1">
      <alignment horizontal="center" vertical="center"/>
    </xf>
    <xf numFmtId="166" fontId="10" fillId="0" borderId="0" xfId="1" applyFont="1" applyAlignment="1">
      <alignment horizontal="center"/>
    </xf>
    <xf numFmtId="166" fontId="11" fillId="0" borderId="0" xfId="1" applyFont="1"/>
    <xf numFmtId="0" fontId="0" fillId="0" borderId="0" xfId="0" applyFill="1"/>
    <xf numFmtId="169" fontId="12" fillId="0" borderId="3" xfId="0" applyNumberFormat="1" applyFont="1" applyFill="1" applyBorder="1"/>
    <xf numFmtId="0" fontId="0" fillId="0" borderId="0" xfId="0" applyFill="1" applyBorder="1"/>
    <xf numFmtId="168" fontId="12" fillId="0" borderId="3" xfId="0" applyNumberFormat="1" applyFont="1" applyFill="1" applyBorder="1" applyAlignment="1"/>
    <xf numFmtId="0" fontId="0" fillId="0" borderId="3" xfId="0" applyFill="1" applyBorder="1"/>
    <xf numFmtId="166" fontId="10" fillId="0" borderId="13" xfId="1" applyFont="1" applyBorder="1" applyAlignment="1">
      <alignment horizontal="left" wrapText="1"/>
    </xf>
    <xf numFmtId="166" fontId="14" fillId="0" borderId="0" xfId="1" applyFont="1" applyAlignment="1">
      <alignment horizontal="center" wrapText="1"/>
    </xf>
    <xf numFmtId="0" fontId="0" fillId="0" borderId="0" xfId="0" applyBorder="1"/>
    <xf numFmtId="166" fontId="15" fillId="0" borderId="8" xfId="1" applyFont="1" applyBorder="1" applyAlignment="1">
      <alignment horizontal="center" vertical="center"/>
    </xf>
    <xf numFmtId="166" fontId="15" fillId="0" borderId="6" xfId="1" applyFont="1" applyBorder="1" applyAlignment="1">
      <alignment horizontal="center" vertical="center" wrapText="1"/>
    </xf>
    <xf numFmtId="166" fontId="15" fillId="0" borderId="6" xfId="1" applyFont="1" applyBorder="1" applyAlignment="1">
      <alignment vertical="center" wrapText="1"/>
    </xf>
    <xf numFmtId="166" fontId="15" fillId="0" borderId="6" xfId="1" applyFont="1" applyBorder="1" applyAlignment="1">
      <alignment horizontal="center" vertical="center"/>
    </xf>
    <xf numFmtId="166" fontId="15" fillId="0" borderId="7" xfId="1" applyFont="1" applyBorder="1" applyAlignment="1">
      <alignment horizontal="center" vertical="center"/>
    </xf>
    <xf numFmtId="0" fontId="16" fillId="0" borderId="0" xfId="0" applyFont="1" applyBorder="1"/>
    <xf numFmtId="2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166" fontId="8" fillId="0" borderId="3" xfId="1" applyFont="1" applyBorder="1" applyAlignment="1">
      <alignment vertical="center"/>
    </xf>
    <xf numFmtId="166" fontId="8" fillId="0" borderId="1" xfId="1" applyFont="1" applyBorder="1" applyAlignment="1">
      <alignment vertical="center"/>
    </xf>
    <xf numFmtId="166" fontId="8" fillId="2" borderId="3" xfId="1" applyFont="1" applyFill="1" applyBorder="1" applyAlignment="1">
      <alignment horizontal="left" vertical="center" wrapText="1"/>
    </xf>
    <xf numFmtId="166" fontId="8" fillId="0" borderId="3" xfId="1" applyFont="1" applyBorder="1" applyAlignment="1">
      <alignment horizontal="left" vertical="center" wrapText="1"/>
    </xf>
    <xf numFmtId="166" fontId="8" fillId="2" borderId="5" xfId="1" applyFont="1" applyFill="1" applyBorder="1" applyAlignment="1">
      <alignment horizontal="left" vertical="center"/>
    </xf>
    <xf numFmtId="166" fontId="8" fillId="0" borderId="3" xfId="1" applyFont="1" applyBorder="1" applyAlignment="1">
      <alignment horizontal="left" vertical="center"/>
    </xf>
    <xf numFmtId="166" fontId="8" fillId="0" borderId="0" xfId="1" applyFont="1" applyBorder="1" applyAlignment="1">
      <alignment horizontal="left" vertical="center" wrapText="1"/>
    </xf>
    <xf numFmtId="166" fontId="8" fillId="0" borderId="0" xfId="1" applyFont="1" applyBorder="1" applyAlignment="1">
      <alignment horizontal="left" vertical="center"/>
    </xf>
    <xf numFmtId="165" fontId="8" fillId="0" borderId="0" xfId="2" applyFont="1" applyBorder="1" applyAlignment="1">
      <alignment horizontal="left" vertical="center"/>
    </xf>
    <xf numFmtId="165" fontId="8" fillId="2" borderId="0" xfId="2" applyFont="1" applyFill="1" applyBorder="1" applyAlignment="1">
      <alignment horizontal="left" vertical="center"/>
    </xf>
    <xf numFmtId="165" fontId="8" fillId="2" borderId="5" xfId="2" applyFont="1" applyFill="1" applyBorder="1" applyAlignment="1">
      <alignment horizontal="left" vertical="center"/>
    </xf>
    <xf numFmtId="166" fontId="8" fillId="0" borderId="0" xfId="1" applyFont="1" applyFill="1" applyBorder="1" applyAlignment="1">
      <alignment horizontal="left" vertical="center"/>
    </xf>
    <xf numFmtId="166" fontId="9" fillId="4" borderId="6" xfId="1" applyFont="1" applyFill="1" applyBorder="1" applyAlignment="1">
      <alignment vertical="center" wrapText="1"/>
    </xf>
    <xf numFmtId="166" fontId="9" fillId="4" borderId="6" xfId="1" applyFont="1" applyFill="1" applyBorder="1" applyAlignment="1">
      <alignment horizontal="left" vertical="center" wrapText="1"/>
    </xf>
    <xf numFmtId="166" fontId="9" fillId="4" borderId="21" xfId="1" applyFont="1" applyFill="1" applyBorder="1" applyAlignment="1">
      <alignment horizontal="left" vertical="center"/>
    </xf>
    <xf numFmtId="166" fontId="9" fillId="4" borderId="11" xfId="1" applyFont="1" applyFill="1" applyBorder="1" applyAlignment="1">
      <alignment vertical="center" wrapText="1"/>
    </xf>
    <xf numFmtId="166" fontId="8" fillId="4" borderId="6" xfId="1" applyFont="1" applyFill="1" applyBorder="1" applyAlignment="1">
      <alignment horizontal="left" vertical="center" wrapText="1"/>
    </xf>
    <xf numFmtId="166" fontId="9" fillId="6" borderId="11" xfId="1" applyFont="1" applyFill="1" applyBorder="1" applyAlignment="1">
      <alignment wrapText="1"/>
    </xf>
    <xf numFmtId="166" fontId="9" fillId="6" borderId="12" xfId="1" applyFont="1" applyFill="1" applyBorder="1" applyAlignment="1">
      <alignment wrapText="1"/>
    </xf>
    <xf numFmtId="166" fontId="9" fillId="6" borderId="21" xfId="1" applyFont="1" applyFill="1" applyBorder="1" applyAlignment="1">
      <alignment vertical="center"/>
    </xf>
    <xf numFmtId="166" fontId="9" fillId="4" borderId="9" xfId="1" applyFont="1" applyFill="1" applyBorder="1" applyAlignment="1">
      <alignment horizontal="left" vertical="center" wrapText="1"/>
    </xf>
    <xf numFmtId="166" fontId="9" fillId="4" borderId="9" xfId="1" applyFont="1" applyFill="1" applyBorder="1" applyAlignment="1">
      <alignment horizontal="left" wrapText="1"/>
    </xf>
    <xf numFmtId="166" fontId="9" fillId="4" borderId="21" xfId="1" applyFont="1" applyFill="1" applyBorder="1" applyAlignment="1">
      <alignment vertical="center"/>
    </xf>
    <xf numFmtId="166" fontId="8" fillId="0" borderId="10" xfId="1" applyFont="1" applyBorder="1" applyAlignment="1">
      <alignment wrapText="1"/>
    </xf>
    <xf numFmtId="166" fontId="9" fillId="0" borderId="3" xfId="1" applyFont="1" applyBorder="1" applyAlignment="1">
      <alignment horizontal="left" wrapText="1"/>
    </xf>
    <xf numFmtId="166" fontId="9" fillId="5" borderId="11" xfId="1" applyFont="1" applyFill="1" applyBorder="1" applyAlignment="1">
      <alignment horizontal="left" wrapText="1"/>
    </xf>
    <xf numFmtId="166" fontId="10" fillId="5" borderId="4" xfId="1" applyFont="1" applyFill="1" applyBorder="1" applyAlignment="1">
      <alignment vertical="center"/>
    </xf>
    <xf numFmtId="166" fontId="10" fillId="5" borderId="11" xfId="1" applyFont="1" applyFill="1" applyBorder="1" applyAlignment="1">
      <alignment vertical="center" wrapText="1"/>
    </xf>
    <xf numFmtId="166" fontId="10" fillId="5" borderId="11" xfId="1" applyFont="1" applyFill="1" applyBorder="1" applyAlignment="1">
      <alignment horizontal="center" vertical="center"/>
    </xf>
    <xf numFmtId="166" fontId="10" fillId="5" borderId="11" xfId="1" applyFont="1" applyFill="1" applyBorder="1" applyAlignment="1">
      <alignment horizontal="center"/>
    </xf>
    <xf numFmtId="166" fontId="10" fillId="5" borderId="11" xfId="1" applyFont="1" applyFill="1" applyBorder="1"/>
    <xf numFmtId="166" fontId="10" fillId="0" borderId="0" xfId="1" applyFont="1" applyBorder="1" applyAlignment="1">
      <alignment vertical="center"/>
    </xf>
    <xf numFmtId="171" fontId="9" fillId="4" borderId="21" xfId="2" applyNumberFormat="1" applyFont="1" applyFill="1" applyBorder="1" applyAlignment="1">
      <alignment horizontal="center" vertical="center"/>
    </xf>
    <xf numFmtId="171" fontId="8" fillId="6" borderId="21" xfId="1" applyNumberFormat="1" applyFont="1" applyFill="1" applyBorder="1"/>
    <xf numFmtId="0" fontId="20" fillId="0" borderId="0" xfId="0" applyFont="1"/>
    <xf numFmtId="166" fontId="6" fillId="2" borderId="3" xfId="1" applyFont="1" applyFill="1" applyBorder="1" applyAlignment="1">
      <alignment horizontal="left" vertical="center" wrapText="1"/>
    </xf>
    <xf numFmtId="166" fontId="6" fillId="0" borderId="3" xfId="1" applyFont="1" applyBorder="1" applyAlignment="1">
      <alignment horizontal="left" vertical="center" wrapText="1"/>
    </xf>
    <xf numFmtId="166" fontId="8" fillId="0" borderId="5" xfId="1" applyFont="1" applyFill="1" applyBorder="1" applyAlignment="1">
      <alignment vertical="center"/>
    </xf>
    <xf numFmtId="0" fontId="6" fillId="0" borderId="5" xfId="1" applyNumberFormat="1" applyFont="1" applyFill="1" applyBorder="1" applyAlignment="1">
      <alignment horizontal="left" vertical="center" wrapText="1" shrinkToFit="1"/>
    </xf>
    <xf numFmtId="0" fontId="8" fillId="0" borderId="5" xfId="1" applyNumberFormat="1" applyFont="1" applyFill="1" applyBorder="1" applyAlignment="1">
      <alignment horizontal="left" vertical="center" wrapText="1" shrinkToFit="1"/>
    </xf>
    <xf numFmtId="166" fontId="8" fillId="0" borderId="5" xfId="1" applyFont="1" applyFill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166" fontId="10" fillId="0" borderId="0" xfId="1" applyFont="1" applyFill="1"/>
    <xf numFmtId="166" fontId="6" fillId="0" borderId="3" xfId="1" applyFont="1" applyFill="1" applyBorder="1" applyAlignment="1">
      <alignment horizontal="left" vertical="center" wrapText="1"/>
    </xf>
    <xf numFmtId="166" fontId="8" fillId="0" borderId="3" xfId="1" applyFont="1" applyFill="1" applyBorder="1" applyAlignment="1">
      <alignment horizontal="left" vertical="center" wrapText="1"/>
    </xf>
    <xf numFmtId="166" fontId="8" fillId="0" borderId="3" xfId="1" applyFont="1" applyFill="1" applyBorder="1" applyAlignment="1">
      <alignment horizontal="left" vertical="center"/>
    </xf>
    <xf numFmtId="165" fontId="9" fillId="0" borderId="22" xfId="2" applyFont="1" applyFill="1" applyBorder="1" applyAlignment="1">
      <alignment horizontal="center" vertical="center"/>
    </xf>
    <xf numFmtId="166" fontId="6" fillId="0" borderId="5" xfId="1" applyFont="1" applyFill="1" applyBorder="1" applyAlignment="1">
      <alignment horizontal="left" vertical="center" wrapText="1"/>
    </xf>
    <xf numFmtId="166" fontId="8" fillId="0" borderId="5" xfId="1" applyFont="1" applyFill="1" applyBorder="1" applyAlignment="1">
      <alignment horizontal="left" vertical="center" wrapText="1"/>
    </xf>
    <xf numFmtId="166" fontId="10" fillId="0" borderId="0" xfId="1" applyFont="1" applyFill="1" applyAlignment="1">
      <alignment vertical="center"/>
    </xf>
    <xf numFmtId="166" fontId="9" fillId="0" borderId="21" xfId="1" applyFont="1" applyFill="1" applyBorder="1" applyAlignment="1">
      <alignment vertical="center"/>
    </xf>
    <xf numFmtId="166" fontId="9" fillId="0" borderId="11" xfId="1" applyFont="1" applyFill="1" applyBorder="1" applyAlignment="1">
      <alignment vertical="center" wrapText="1"/>
    </xf>
    <xf numFmtId="165" fontId="8" fillId="0" borderId="3" xfId="2" applyFont="1" applyFill="1" applyBorder="1" applyAlignment="1">
      <alignment horizontal="left" vertical="center"/>
    </xf>
    <xf numFmtId="166" fontId="8" fillId="0" borderId="0" xfId="1" applyFont="1" applyFill="1" applyBorder="1" applyAlignment="1">
      <alignment horizontal="left" vertical="center" wrapText="1"/>
    </xf>
    <xf numFmtId="171" fontId="9" fillId="0" borderId="23" xfId="2" applyNumberFormat="1" applyFont="1" applyFill="1" applyBorder="1" applyAlignment="1">
      <alignment horizontal="center" vertical="center"/>
    </xf>
    <xf numFmtId="9" fontId="13" fillId="0" borderId="26" xfId="25" applyFont="1" applyFill="1" applyBorder="1" applyAlignment="1">
      <alignment vertical="center" wrapText="1"/>
    </xf>
    <xf numFmtId="168" fontId="12" fillId="0" borderId="27" xfId="0" applyNumberFormat="1" applyFont="1" applyFill="1" applyBorder="1" applyAlignment="1"/>
    <xf numFmtId="169" fontId="12" fillId="0" borderId="27" xfId="0" applyNumberFormat="1" applyFont="1" applyFill="1" applyBorder="1"/>
    <xf numFmtId="170" fontId="6" fillId="0" borderId="27" xfId="26" applyNumberFormat="1" applyFont="1" applyFill="1" applyBorder="1"/>
    <xf numFmtId="166" fontId="9" fillId="5" borderId="21" xfId="1" applyFont="1" applyFill="1" applyBorder="1"/>
    <xf numFmtId="165" fontId="9" fillId="0" borderId="22" xfId="2" applyFont="1" applyFill="1" applyBorder="1" applyAlignment="1">
      <alignment horizontal="center" vertical="center"/>
    </xf>
    <xf numFmtId="166" fontId="8" fillId="0" borderId="15" xfId="1" applyFont="1" applyBorder="1" applyAlignment="1">
      <alignment horizontal="center" vertical="center"/>
    </xf>
    <xf numFmtId="166" fontId="8" fillId="0" borderId="5" xfId="1" applyFont="1" applyBorder="1" applyAlignment="1">
      <alignment horizontal="center" vertical="center"/>
    </xf>
    <xf numFmtId="166" fontId="10" fillId="0" borderId="13" xfId="1" applyFont="1" applyBorder="1" applyAlignment="1">
      <alignment horizontal="center"/>
    </xf>
    <xf numFmtId="166" fontId="8" fillId="0" borderId="15" xfId="1" applyFont="1" applyBorder="1" applyAlignment="1">
      <alignment horizontal="center" vertical="center"/>
    </xf>
    <xf numFmtId="9" fontId="13" fillId="0" borderId="3" xfId="25" applyFont="1" applyFill="1" applyBorder="1" applyAlignment="1">
      <alignment horizontal="right" vertical="center" wrapText="1"/>
    </xf>
    <xf numFmtId="9" fontId="13" fillId="0" borderId="24" xfId="25" applyFont="1" applyFill="1" applyBorder="1" applyAlignment="1">
      <alignment horizontal="right" vertical="center" wrapText="1"/>
    </xf>
    <xf numFmtId="9" fontId="13" fillId="0" borderId="25" xfId="25" applyFont="1" applyFill="1" applyBorder="1" applyAlignment="1">
      <alignment horizontal="right" vertical="center" wrapText="1"/>
    </xf>
    <xf numFmtId="9" fontId="13" fillId="0" borderId="27" xfId="25" applyFont="1" applyFill="1" applyBorder="1" applyAlignment="1">
      <alignment horizontal="right" vertical="center" wrapText="1"/>
    </xf>
    <xf numFmtId="166" fontId="8" fillId="4" borderId="17" xfId="1" applyFont="1" applyFill="1" applyBorder="1" applyAlignment="1">
      <alignment horizontal="center" vertical="center"/>
    </xf>
    <xf numFmtId="166" fontId="8" fillId="4" borderId="11" xfId="1" applyFont="1" applyFill="1" applyBorder="1" applyAlignment="1">
      <alignment horizontal="center" vertical="center"/>
    </xf>
    <xf numFmtId="166" fontId="9" fillId="0" borderId="15" xfId="1" applyFont="1" applyBorder="1" applyAlignment="1">
      <alignment horizontal="center" vertical="center"/>
    </xf>
    <xf numFmtId="166" fontId="8" fillId="0" borderId="5" xfId="1" applyFont="1" applyBorder="1" applyAlignment="1">
      <alignment horizontal="center" vertical="center"/>
    </xf>
    <xf numFmtId="166" fontId="8" fillId="0" borderId="19" xfId="1" applyFont="1" applyBorder="1" applyAlignment="1">
      <alignment horizontal="center" vertical="center"/>
    </xf>
    <xf numFmtId="166" fontId="9" fillId="4" borderId="11" xfId="1" applyFont="1" applyFill="1" applyBorder="1" applyAlignment="1">
      <alignment horizontal="center" vertical="center" wrapText="1"/>
    </xf>
    <xf numFmtId="166" fontId="8" fillId="0" borderId="14" xfId="1" applyFont="1" applyFill="1" applyBorder="1" applyAlignment="1">
      <alignment horizontal="center" vertical="center"/>
    </xf>
    <xf numFmtId="166" fontId="8" fillId="0" borderId="15" xfId="1" applyFont="1" applyFill="1" applyBorder="1" applyAlignment="1">
      <alignment horizontal="center" vertical="center"/>
    </xf>
    <xf numFmtId="166" fontId="8" fillId="0" borderId="16" xfId="1" applyFont="1" applyFill="1" applyBorder="1" applyAlignment="1">
      <alignment horizontal="center" vertical="center"/>
    </xf>
    <xf numFmtId="166" fontId="9" fillId="0" borderId="11" xfId="1" applyFont="1" applyFill="1" applyBorder="1" applyAlignment="1">
      <alignment horizontal="center" vertical="center" wrapText="1"/>
    </xf>
    <xf numFmtId="166" fontId="8" fillId="0" borderId="3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8" fillId="0" borderId="16" xfId="1" applyFont="1" applyBorder="1" applyAlignment="1">
      <alignment horizontal="center" vertical="center"/>
    </xf>
    <xf numFmtId="165" fontId="9" fillId="0" borderId="22" xfId="2" applyFont="1" applyFill="1" applyBorder="1" applyAlignment="1">
      <alignment horizontal="center" vertical="center"/>
    </xf>
    <xf numFmtId="165" fontId="9" fillId="0" borderId="5" xfId="2" applyFont="1" applyFill="1" applyBorder="1" applyAlignment="1">
      <alignment horizontal="center" vertical="center"/>
    </xf>
    <xf numFmtId="166" fontId="8" fillId="0" borderId="18" xfId="1" applyFont="1" applyBorder="1" applyAlignment="1">
      <alignment horizontal="center" vertical="center"/>
    </xf>
    <xf numFmtId="166" fontId="8" fillId="0" borderId="20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166" fontId="8" fillId="0" borderId="0" xfId="1" applyFont="1" applyAlignment="1">
      <alignment vertical="center"/>
    </xf>
    <xf numFmtId="166" fontId="8" fillId="0" borderId="0" xfId="1" applyFont="1" applyAlignment="1">
      <alignment horizontal="left" wrapText="1"/>
    </xf>
    <xf numFmtId="166" fontId="8" fillId="0" borderId="0" xfId="1" applyFont="1" applyAlignment="1">
      <alignment vertical="center" wrapText="1"/>
    </xf>
    <xf numFmtId="166" fontId="8" fillId="0" borderId="0" xfId="1" applyFont="1" applyAlignment="1">
      <alignment horizontal="center" vertical="center"/>
    </xf>
    <xf numFmtId="166" fontId="8" fillId="0" borderId="0" xfId="1" applyFont="1" applyAlignment="1">
      <alignment horizontal="center"/>
    </xf>
    <xf numFmtId="166" fontId="8" fillId="0" borderId="0" xfId="1" applyFont="1"/>
    <xf numFmtId="166" fontId="9" fillId="0" borderId="0" xfId="1" applyFont="1"/>
    <xf numFmtId="0" fontId="17" fillId="0" borderId="0" xfId="0" applyFont="1" applyAlignment="1">
      <alignment horizontal="center" wrapText="1"/>
    </xf>
    <xf numFmtId="0" fontId="16" fillId="0" borderId="0" xfId="0" applyFont="1"/>
    <xf numFmtId="0" fontId="18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6" fontId="8" fillId="0" borderId="5" xfId="1" applyFont="1" applyBorder="1" applyAlignment="1">
      <alignment vertical="center"/>
    </xf>
    <xf numFmtId="166" fontId="8" fillId="0" borderId="5" xfId="1" applyFont="1" applyBorder="1" applyAlignment="1">
      <alignment horizontal="left" vertical="center"/>
    </xf>
    <xf numFmtId="165" fontId="8" fillId="0" borderId="5" xfId="2" applyFont="1" applyBorder="1" applyAlignment="1">
      <alignment horizontal="left" vertical="center"/>
    </xf>
    <xf numFmtId="0" fontId="6" fillId="0" borderId="5" xfId="1" applyNumberFormat="1" applyFont="1" applyBorder="1" applyAlignment="1">
      <alignment horizontal="left" vertical="center" wrapText="1" shrinkToFit="1"/>
    </xf>
    <xf numFmtId="0" fontId="8" fillId="0" borderId="5" xfId="1" applyNumberFormat="1" applyFont="1" applyBorder="1" applyAlignment="1">
      <alignment horizontal="left" vertical="center" wrapText="1" shrinkToFit="1"/>
    </xf>
    <xf numFmtId="165" fontId="9" fillId="0" borderId="22" xfId="2" applyFont="1" applyBorder="1" applyAlignment="1">
      <alignment horizontal="center" vertical="center"/>
    </xf>
    <xf numFmtId="165" fontId="9" fillId="0" borderId="10" xfId="2" applyFont="1" applyBorder="1" applyAlignment="1">
      <alignment horizontal="center" vertical="center"/>
    </xf>
    <xf numFmtId="165" fontId="9" fillId="0" borderId="5" xfId="2" applyFont="1" applyBorder="1" applyAlignment="1">
      <alignment horizontal="center" vertical="center"/>
    </xf>
    <xf numFmtId="166" fontId="6" fillId="0" borderId="15" xfId="1" applyFont="1" applyBorder="1" applyAlignment="1">
      <alignment horizontal="left" vertical="center" wrapText="1"/>
    </xf>
    <xf numFmtId="166" fontId="8" fillId="0" borderId="15" xfId="1" applyFont="1" applyBorder="1" applyAlignment="1">
      <alignment horizontal="left" vertical="center" wrapText="1"/>
    </xf>
    <xf numFmtId="165" fontId="9" fillId="0" borderId="3" xfId="2" applyFont="1" applyBorder="1" applyAlignment="1">
      <alignment horizontal="center" vertical="center"/>
    </xf>
    <xf numFmtId="166" fontId="6" fillId="0" borderId="5" xfId="1" applyFont="1" applyBorder="1" applyAlignment="1">
      <alignment horizontal="left" vertical="center" wrapText="1"/>
    </xf>
    <xf numFmtId="166" fontId="8" fillId="0" borderId="5" xfId="1" applyFont="1" applyBorder="1" applyAlignment="1">
      <alignment horizontal="left" vertical="center" wrapText="1"/>
    </xf>
    <xf numFmtId="166" fontId="8" fillId="0" borderId="0" xfId="1" applyFont="1" applyAlignment="1">
      <alignment horizontal="left" vertical="center" wrapText="1"/>
    </xf>
    <xf numFmtId="166" fontId="8" fillId="0" borderId="0" xfId="1" applyFont="1" applyAlignment="1">
      <alignment horizontal="left" vertical="center"/>
    </xf>
    <xf numFmtId="165" fontId="8" fillId="0" borderId="0" xfId="2" applyFont="1" applyAlignment="1">
      <alignment horizontal="left" vertical="center"/>
    </xf>
    <xf numFmtId="166" fontId="8" fillId="0" borderId="14" xfId="1" applyFont="1" applyBorder="1" applyAlignment="1">
      <alignment horizontal="center" vertical="center"/>
    </xf>
    <xf numFmtId="166" fontId="9" fillId="0" borderId="0" xfId="1" applyFont="1" applyAlignment="1">
      <alignment vertical="center" wrapText="1"/>
    </xf>
    <xf numFmtId="171" fontId="9" fillId="0" borderId="10" xfId="2" applyNumberFormat="1" applyFont="1" applyBorder="1" applyAlignment="1">
      <alignment horizontal="center" vertical="center"/>
    </xf>
    <xf numFmtId="165" fontId="8" fillId="0" borderId="3" xfId="2" applyFont="1" applyBorder="1" applyAlignment="1">
      <alignment horizontal="left" vertical="center"/>
    </xf>
    <xf numFmtId="171" fontId="9" fillId="0" borderId="5" xfId="2" applyNumberFormat="1" applyFont="1" applyBorder="1" applyAlignment="1">
      <alignment horizontal="center" vertical="center"/>
    </xf>
    <xf numFmtId="165" fontId="8" fillId="2" borderId="0" xfId="2" applyFont="1" applyFill="1" applyAlignment="1">
      <alignment horizontal="left" vertical="center"/>
    </xf>
    <xf numFmtId="166" fontId="9" fillId="7" borderId="8" xfId="1" applyFont="1" applyFill="1" applyBorder="1" applyAlignment="1">
      <alignment vertical="center"/>
    </xf>
    <xf numFmtId="166" fontId="9" fillId="7" borderId="6" xfId="1" applyFont="1" applyFill="1" applyBorder="1" applyAlignment="1">
      <alignment wrapText="1"/>
    </xf>
    <xf numFmtId="166" fontId="9" fillId="7" borderId="6" xfId="1" applyFont="1" applyFill="1" applyBorder="1" applyAlignment="1">
      <alignment vertical="center" wrapText="1"/>
    </xf>
    <xf numFmtId="166" fontId="8" fillId="7" borderId="17" xfId="1" applyFont="1" applyFill="1" applyBorder="1" applyAlignment="1">
      <alignment horizontal="center" vertical="center"/>
    </xf>
    <xf numFmtId="166" fontId="8" fillId="7" borderId="11" xfId="1" applyFont="1" applyFill="1" applyBorder="1" applyAlignment="1">
      <alignment horizontal="center" vertical="center"/>
    </xf>
    <xf numFmtId="171" fontId="9" fillId="7" borderId="21" xfId="1" applyNumberFormat="1" applyFont="1" applyFill="1" applyBorder="1"/>
    <xf numFmtId="166" fontId="8" fillId="0" borderId="28" xfId="1" applyFont="1" applyBorder="1" applyAlignment="1">
      <alignment horizontal="center" vertical="center"/>
    </xf>
    <xf numFmtId="166" fontId="8" fillId="0" borderId="29" xfId="1" applyFont="1" applyBorder="1" applyAlignment="1">
      <alignment horizontal="center" vertical="center"/>
    </xf>
    <xf numFmtId="166" fontId="8" fillId="0" borderId="30" xfId="1" applyFont="1" applyBorder="1" applyAlignment="1">
      <alignment horizontal="center" vertical="center"/>
    </xf>
    <xf numFmtId="9" fontId="6" fillId="0" borderId="3" xfId="25" applyFont="1" applyBorder="1" applyAlignment="1">
      <alignment horizontal="right" vertical="center" wrapText="1"/>
    </xf>
    <xf numFmtId="9" fontId="6" fillId="0" borderId="3" xfId="25" applyFont="1" applyBorder="1" applyAlignment="1">
      <alignment horizontal="center" vertical="center" wrapText="1"/>
    </xf>
    <xf numFmtId="10" fontId="6" fillId="0" borderId="3" xfId="25" applyNumberFormat="1" applyFont="1" applyBorder="1" applyAlignment="1">
      <alignment horizontal="center" vertical="center" wrapText="1"/>
    </xf>
    <xf numFmtId="166" fontId="8" fillId="0" borderId="27" xfId="1" applyFont="1" applyBorder="1" applyAlignment="1">
      <alignment vertical="center"/>
    </xf>
    <xf numFmtId="166" fontId="8" fillId="0" borderId="27" xfId="1" applyFont="1" applyBorder="1" applyAlignment="1">
      <alignment wrapText="1"/>
    </xf>
    <xf numFmtId="166" fontId="21" fillId="0" borderId="19" xfId="1" applyFont="1" applyBorder="1" applyAlignment="1">
      <alignment horizontal="center" vertical="center" wrapText="1"/>
    </xf>
    <xf numFmtId="10" fontId="6" fillId="0" borderId="19" xfId="26" applyNumberFormat="1" applyFont="1" applyBorder="1" applyAlignment="1">
      <alignment horizontal="center" vertical="center"/>
    </xf>
    <xf numFmtId="166" fontId="10" fillId="8" borderId="4" xfId="1" applyFont="1" applyFill="1" applyBorder="1" applyAlignment="1">
      <alignment vertical="center"/>
    </xf>
    <xf numFmtId="166" fontId="9" fillId="8" borderId="11" xfId="1" applyFont="1" applyFill="1" applyBorder="1" applyAlignment="1">
      <alignment horizontal="left" wrapText="1"/>
    </xf>
    <xf numFmtId="166" fontId="10" fillId="8" borderId="11" xfId="1" applyFont="1" applyFill="1" applyBorder="1" applyAlignment="1">
      <alignment vertical="center" wrapText="1"/>
    </xf>
    <xf numFmtId="166" fontId="10" fillId="8" borderId="11" xfId="1" applyFont="1" applyFill="1" applyBorder="1" applyAlignment="1">
      <alignment horizontal="center" vertical="center"/>
    </xf>
    <xf numFmtId="166" fontId="10" fillId="8" borderId="11" xfId="1" applyFont="1" applyFill="1" applyBorder="1" applyAlignment="1">
      <alignment horizontal="center"/>
    </xf>
    <xf numFmtId="166" fontId="10" fillId="8" borderId="11" xfId="1" applyFont="1" applyFill="1" applyBorder="1"/>
    <xf numFmtId="166" fontId="8" fillId="8" borderId="21" xfId="1" applyFont="1" applyFill="1" applyBorder="1" applyAlignment="1">
      <alignment wrapText="1"/>
    </xf>
    <xf numFmtId="166" fontId="10" fillId="9" borderId="4" xfId="1" applyFont="1" applyFill="1" applyBorder="1" applyAlignment="1">
      <alignment vertical="center"/>
    </xf>
    <xf numFmtId="166" fontId="9" fillId="9" borderId="11" xfId="1" applyFont="1" applyFill="1" applyBorder="1" applyAlignment="1">
      <alignment horizontal="left" wrapText="1"/>
    </xf>
    <xf numFmtId="166" fontId="10" fillId="9" borderId="11" xfId="1" applyFont="1" applyFill="1" applyBorder="1" applyAlignment="1">
      <alignment vertical="center" wrapText="1"/>
    </xf>
    <xf numFmtId="166" fontId="10" fillId="9" borderId="11" xfId="1" applyFont="1" applyFill="1" applyBorder="1" applyAlignment="1">
      <alignment horizontal="center" vertical="center"/>
    </xf>
    <xf numFmtId="166" fontId="10" fillId="9" borderId="11" xfId="1" applyFont="1" applyFill="1" applyBorder="1" applyAlignment="1">
      <alignment horizontal="center"/>
    </xf>
    <xf numFmtId="166" fontId="10" fillId="9" borderId="11" xfId="1" applyFont="1" applyFill="1" applyBorder="1"/>
    <xf numFmtId="166" fontId="9" fillId="9" borderId="21" xfId="1" applyFont="1" applyFill="1" applyBorder="1"/>
    <xf numFmtId="166" fontId="6" fillId="0" borderId="14" xfId="1" applyFont="1" applyBorder="1" applyAlignment="1">
      <alignment vertical="center"/>
    </xf>
    <xf numFmtId="166" fontId="6" fillId="0" borderId="15" xfId="1" applyFont="1" applyBorder="1" applyAlignment="1">
      <alignment horizontal="left" wrapText="1"/>
    </xf>
    <xf numFmtId="166" fontId="6" fillId="0" borderId="15" xfId="1" applyFont="1" applyBorder="1" applyAlignment="1">
      <alignment vertical="center" wrapText="1"/>
    </xf>
    <xf numFmtId="166" fontId="6" fillId="0" borderId="15" xfId="1" applyFont="1" applyBorder="1" applyAlignment="1">
      <alignment horizontal="center" vertical="center"/>
    </xf>
    <xf numFmtId="166" fontId="6" fillId="0" borderId="15" xfId="1" applyFont="1" applyBorder="1" applyAlignment="1">
      <alignment horizontal="center"/>
    </xf>
    <xf numFmtId="166" fontId="6" fillId="0" borderId="15" xfId="1" applyFont="1" applyBorder="1"/>
    <xf numFmtId="166" fontId="22" fillId="0" borderId="16" xfId="1" applyFont="1" applyBorder="1"/>
    <xf numFmtId="0" fontId="18" fillId="0" borderId="3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32" xfId="0" applyFont="1" applyBorder="1" applyAlignment="1">
      <alignment horizont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2" fontId="23" fillId="0" borderId="31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2" fontId="23" fillId="0" borderId="32" xfId="0" applyNumberFormat="1" applyFont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166" fontId="6" fillId="0" borderId="33" xfId="1" applyFont="1" applyBorder="1" applyAlignment="1">
      <alignment horizontal="center" vertical="center"/>
    </xf>
    <xf numFmtId="166" fontId="6" fillId="0" borderId="34" xfId="1" applyFont="1" applyBorder="1" applyAlignment="1">
      <alignment horizontal="center" vertical="center"/>
    </xf>
    <xf numFmtId="166" fontId="6" fillId="0" borderId="35" xfId="1" applyFont="1" applyBorder="1" applyAlignment="1">
      <alignment horizontal="center" vertical="center"/>
    </xf>
    <xf numFmtId="166" fontId="24" fillId="0" borderId="6" xfId="1" applyFont="1" applyBorder="1" applyAlignment="1">
      <alignment horizontal="center" vertical="center"/>
    </xf>
    <xf numFmtId="166" fontId="24" fillId="0" borderId="6" xfId="1" applyFont="1" applyBorder="1" applyAlignment="1">
      <alignment horizontal="center" vertical="center" wrapText="1"/>
    </xf>
    <xf numFmtId="166" fontId="24" fillId="0" borderId="6" xfId="1" applyFont="1" applyBorder="1" applyAlignment="1">
      <alignment vertical="center" wrapText="1"/>
    </xf>
    <xf numFmtId="166" fontId="6" fillId="0" borderId="17" xfId="1" applyFont="1" applyBorder="1" applyAlignment="1">
      <alignment horizontal="center" vertical="center"/>
    </xf>
    <xf numFmtId="166" fontId="6" fillId="0" borderId="11" xfId="1" applyFont="1" applyBorder="1" applyAlignment="1">
      <alignment horizontal="center" vertical="center"/>
    </xf>
    <xf numFmtId="166" fontId="6" fillId="0" borderId="9" xfId="1" applyFont="1" applyBorder="1" applyAlignment="1">
      <alignment horizontal="center" vertical="center"/>
    </xf>
    <xf numFmtId="166" fontId="22" fillId="10" borderId="17" xfId="1" applyFont="1" applyFill="1" applyBorder="1" applyAlignment="1">
      <alignment vertical="center"/>
    </xf>
    <xf numFmtId="166" fontId="22" fillId="10" borderId="4" xfId="1" applyFont="1" applyFill="1" applyBorder="1" applyAlignment="1">
      <alignment wrapText="1"/>
    </xf>
    <xf numFmtId="166" fontId="22" fillId="10" borderId="11" xfId="1" applyFont="1" applyFill="1" applyBorder="1" applyAlignment="1">
      <alignment wrapText="1"/>
    </xf>
    <xf numFmtId="166" fontId="22" fillId="10" borderId="11" xfId="1" applyFont="1" applyFill="1" applyBorder="1" applyAlignment="1">
      <alignment vertical="center" wrapText="1"/>
    </xf>
    <xf numFmtId="165" fontId="6" fillId="2" borderId="5" xfId="2" applyFont="1" applyFill="1" applyBorder="1" applyAlignment="1">
      <alignment horizontal="left" vertical="center"/>
    </xf>
    <xf numFmtId="166" fontId="22" fillId="10" borderId="8" xfId="1" applyFont="1" applyFill="1" applyBorder="1" applyAlignment="1">
      <alignment vertical="center" wrapText="1"/>
    </xf>
    <xf numFmtId="166" fontId="25" fillId="0" borderId="0" xfId="1" applyFont="1"/>
    <xf numFmtId="166" fontId="22" fillId="0" borderId="18" xfId="1" applyFont="1" applyBorder="1" applyAlignment="1">
      <alignment horizontal="center" vertical="center"/>
    </xf>
    <xf numFmtId="166" fontId="22" fillId="0" borderId="19" xfId="1" applyFont="1" applyBorder="1" applyAlignment="1">
      <alignment horizontal="center" vertical="center"/>
    </xf>
    <xf numFmtId="166" fontId="22" fillId="0" borderId="20" xfId="1" applyFont="1" applyBorder="1" applyAlignment="1">
      <alignment horizontal="center" vertical="center"/>
    </xf>
    <xf numFmtId="166" fontId="22" fillId="10" borderId="6" xfId="1" applyFont="1" applyFill="1" applyBorder="1" applyAlignment="1">
      <alignment horizontal="left" vertical="center"/>
    </xf>
    <xf numFmtId="166" fontId="22" fillId="10" borderId="17" xfId="1" applyFont="1" applyFill="1" applyBorder="1" applyAlignment="1">
      <alignment vertical="center" wrapText="1"/>
    </xf>
    <xf numFmtId="166" fontId="6" fillId="0" borderId="5" xfId="1" applyFont="1" applyBorder="1" applyAlignment="1">
      <alignment vertical="center"/>
    </xf>
    <xf numFmtId="0" fontId="6" fillId="0" borderId="3" xfId="1" applyNumberFormat="1" applyFont="1" applyBorder="1" applyAlignment="1">
      <alignment horizontal="left" vertical="center" wrapText="1" shrinkToFit="1"/>
    </xf>
    <xf numFmtId="166" fontId="6" fillId="7" borderId="5" xfId="1" applyFont="1" applyFill="1" applyBorder="1" applyAlignment="1">
      <alignment horizontal="left" vertical="center"/>
    </xf>
    <xf numFmtId="166" fontId="6" fillId="0" borderId="5" xfId="1" applyFont="1" applyBorder="1" applyAlignment="1">
      <alignment horizontal="center" vertical="center"/>
    </xf>
    <xf numFmtId="166" fontId="6" fillId="0" borderId="3" xfId="1" applyFont="1" applyBorder="1" applyAlignment="1">
      <alignment horizontal="left" vertical="center"/>
    </xf>
    <xf numFmtId="165" fontId="6" fillId="0" borderId="5" xfId="2" applyFont="1" applyBorder="1" applyAlignment="1">
      <alignment horizontal="left" vertical="center"/>
    </xf>
    <xf numFmtId="165" fontId="22" fillId="2" borderId="3" xfId="2" applyFont="1" applyFill="1" applyBorder="1" applyAlignment="1">
      <alignment horizontal="center" vertical="center"/>
    </xf>
    <xf numFmtId="166" fontId="6" fillId="0" borderId="31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 wrapText="1" shrinkToFit="1"/>
    </xf>
    <xf numFmtId="166" fontId="6" fillId="0" borderId="0" xfId="1" applyFont="1" applyAlignment="1">
      <alignment horizontal="left" vertical="center"/>
    </xf>
    <xf numFmtId="165" fontId="6" fillId="2" borderId="0" xfId="2" applyFont="1" applyFill="1" applyAlignment="1">
      <alignment horizontal="left" vertical="center"/>
    </xf>
    <xf numFmtId="165" fontId="22" fillId="2" borderId="32" xfId="2" applyFont="1" applyFill="1" applyBorder="1" applyAlignment="1">
      <alignment horizontal="center" vertical="center"/>
    </xf>
    <xf numFmtId="166" fontId="22" fillId="10" borderId="4" xfId="1" applyFont="1" applyFill="1" applyBorder="1" applyAlignment="1">
      <alignment horizontal="left" vertical="center" wrapText="1"/>
    </xf>
    <xf numFmtId="166" fontId="22" fillId="10" borderId="11" xfId="1" applyFont="1" applyFill="1" applyBorder="1" applyAlignment="1">
      <alignment horizontal="left" vertical="center" wrapText="1"/>
    </xf>
    <xf numFmtId="166" fontId="22" fillId="10" borderId="12" xfId="1" applyFont="1" applyFill="1" applyBorder="1" applyAlignment="1">
      <alignment horizontal="left" vertical="center" wrapText="1"/>
    </xf>
    <xf numFmtId="166" fontId="6" fillId="0" borderId="36" xfId="1" applyFont="1" applyBorder="1" applyAlignment="1">
      <alignment horizontal="center" vertical="center"/>
    </xf>
    <xf numFmtId="166" fontId="6" fillId="0" borderId="22" xfId="1" applyFont="1" applyBorder="1" applyAlignment="1">
      <alignment horizontal="center" vertical="center"/>
    </xf>
    <xf numFmtId="165" fontId="6" fillId="0" borderId="3" xfId="2" applyFont="1" applyBorder="1" applyAlignment="1">
      <alignment horizontal="left" vertical="center"/>
    </xf>
    <xf numFmtId="166" fontId="6" fillId="0" borderId="10" xfId="1" applyFont="1" applyBorder="1" applyAlignment="1">
      <alignment horizontal="center" vertical="center"/>
    </xf>
    <xf numFmtId="166" fontId="6" fillId="0" borderId="37" xfId="1" applyFont="1" applyBorder="1" applyAlignment="1">
      <alignment horizontal="center" vertical="center"/>
    </xf>
    <xf numFmtId="166" fontId="6" fillId="0" borderId="5" xfId="1" applyFont="1" applyBorder="1" applyAlignment="1">
      <alignment wrapText="1"/>
    </xf>
    <xf numFmtId="166" fontId="6" fillId="0" borderId="36" xfId="1" applyFont="1" applyBorder="1" applyAlignment="1">
      <alignment horizontal="left" vertical="center"/>
    </xf>
    <xf numFmtId="166" fontId="6" fillId="0" borderId="5" xfId="1" applyFont="1" applyBorder="1" applyAlignment="1">
      <alignment horizontal="center" vertical="center"/>
    </xf>
    <xf numFmtId="166" fontId="6" fillId="0" borderId="5" xfId="1" applyFont="1" applyBorder="1" applyAlignment="1">
      <alignment horizontal="left" vertical="center"/>
    </xf>
    <xf numFmtId="166" fontId="6" fillId="0" borderId="3" xfId="1" applyFont="1" applyBorder="1" applyAlignment="1">
      <alignment horizontal="center" vertical="center"/>
    </xf>
    <xf numFmtId="166" fontId="27" fillId="0" borderId="5" xfId="1" applyFont="1" applyBorder="1" applyAlignment="1">
      <alignment horizontal="left" vertical="center"/>
    </xf>
    <xf numFmtId="166" fontId="6" fillId="0" borderId="18" xfId="1" applyFont="1" applyBorder="1" applyAlignment="1">
      <alignment horizontal="center" vertical="center"/>
    </xf>
    <xf numFmtId="166" fontId="6" fillId="0" borderId="19" xfId="1" applyFont="1" applyBorder="1" applyAlignment="1">
      <alignment horizontal="center" vertical="center"/>
    </xf>
    <xf numFmtId="166" fontId="6" fillId="0" borderId="20" xfId="1" applyFont="1" applyBorder="1" applyAlignment="1">
      <alignment horizontal="center" vertical="center"/>
    </xf>
    <xf numFmtId="166" fontId="22" fillId="10" borderId="4" xfId="1" applyFont="1" applyFill="1" applyBorder="1" applyAlignment="1">
      <alignment vertical="center" wrapText="1"/>
    </xf>
    <xf numFmtId="166" fontId="29" fillId="0" borderId="0" xfId="1" applyFont="1"/>
    <xf numFmtId="166" fontId="30" fillId="0" borderId="5" xfId="1" applyFont="1" applyBorder="1" applyAlignment="1">
      <alignment horizontal="center" vertical="center"/>
    </xf>
    <xf numFmtId="0" fontId="12" fillId="0" borderId="0" xfId="0" applyFont="1"/>
    <xf numFmtId="166" fontId="6" fillId="0" borderId="0" xfId="1" applyFont="1" applyAlignment="1">
      <alignment horizontal="left" vertical="center" wrapText="1"/>
    </xf>
    <xf numFmtId="166" fontId="22" fillId="0" borderId="22" xfId="1" applyFont="1" applyBorder="1" applyAlignment="1">
      <alignment horizontal="center" vertical="center" wrapText="1"/>
    </xf>
    <xf numFmtId="166" fontId="22" fillId="0" borderId="10" xfId="1" applyFont="1" applyBorder="1" applyAlignment="1">
      <alignment horizontal="center" vertical="center" wrapText="1"/>
    </xf>
    <xf numFmtId="166" fontId="6" fillId="7" borderId="3" xfId="1" applyFont="1" applyFill="1" applyBorder="1" applyAlignment="1">
      <alignment horizontal="left" vertical="center"/>
    </xf>
    <xf numFmtId="49" fontId="6" fillId="0" borderId="3" xfId="1" applyNumberFormat="1" applyFont="1" applyBorder="1" applyAlignment="1">
      <alignment horizontal="left" vertical="center" wrapText="1"/>
    </xf>
    <xf numFmtId="166" fontId="22" fillId="0" borderId="5" xfId="1" applyFont="1" applyBorder="1" applyAlignment="1">
      <alignment horizontal="center" vertical="center" wrapText="1"/>
    </xf>
    <xf numFmtId="166" fontId="22" fillId="7" borderId="6" xfId="1" applyFont="1" applyFill="1" applyBorder="1" applyAlignment="1">
      <alignment vertical="center"/>
    </xf>
    <xf numFmtId="166" fontId="22" fillId="7" borderId="6" xfId="1" applyFont="1" applyFill="1" applyBorder="1" applyAlignment="1">
      <alignment wrapText="1"/>
    </xf>
    <xf numFmtId="166" fontId="22" fillId="7" borderId="6" xfId="1" applyFont="1" applyFill="1" applyBorder="1" applyAlignment="1">
      <alignment vertical="center" wrapText="1"/>
    </xf>
    <xf numFmtId="166" fontId="6" fillId="7" borderId="17" xfId="1" applyFont="1" applyFill="1" applyBorder="1" applyAlignment="1">
      <alignment horizontal="center" vertical="center"/>
    </xf>
    <xf numFmtId="166" fontId="6" fillId="7" borderId="11" xfId="1" applyFont="1" applyFill="1" applyBorder="1" applyAlignment="1">
      <alignment horizontal="center" vertical="center"/>
    </xf>
    <xf numFmtId="166" fontId="6" fillId="7" borderId="9" xfId="1" applyFont="1" applyFill="1" applyBorder="1" applyAlignment="1">
      <alignment horizontal="center" vertical="center"/>
    </xf>
    <xf numFmtId="166" fontId="6" fillId="7" borderId="9" xfId="1" applyFont="1" applyFill="1" applyBorder="1"/>
    <xf numFmtId="166" fontId="6" fillId="0" borderId="28" xfId="1" applyFont="1" applyBorder="1" applyAlignment="1">
      <alignment horizontal="center" vertical="center"/>
    </xf>
    <xf numFmtId="166" fontId="6" fillId="0" borderId="29" xfId="1" applyFont="1" applyBorder="1" applyAlignment="1">
      <alignment horizontal="center" vertical="center"/>
    </xf>
    <xf numFmtId="166" fontId="6" fillId="0" borderId="30" xfId="1" applyFont="1" applyBorder="1" applyAlignment="1">
      <alignment horizontal="center" vertical="center"/>
    </xf>
    <xf numFmtId="166" fontId="6" fillId="0" borderId="3" xfId="1" applyFont="1" applyBorder="1" applyAlignment="1">
      <alignment vertical="center"/>
    </xf>
    <xf numFmtId="166" fontId="22" fillId="0" borderId="3" xfId="1" applyFont="1" applyBorder="1" applyAlignment="1">
      <alignment horizontal="left" wrapText="1"/>
    </xf>
    <xf numFmtId="166" fontId="6" fillId="0" borderId="3" xfId="1" applyFont="1" applyBorder="1" applyAlignment="1">
      <alignment wrapText="1"/>
    </xf>
    <xf numFmtId="166" fontId="6" fillId="0" borderId="27" xfId="1" applyFont="1" applyBorder="1" applyAlignment="1">
      <alignment vertical="center"/>
    </xf>
    <xf numFmtId="166" fontId="6" fillId="0" borderId="27" xfId="1" applyFont="1" applyBorder="1" applyAlignment="1">
      <alignment wrapText="1"/>
    </xf>
    <xf numFmtId="166" fontId="31" fillId="0" borderId="19" xfId="1" applyFont="1" applyBorder="1" applyAlignment="1">
      <alignment horizontal="center" vertical="center" wrapText="1"/>
    </xf>
    <xf numFmtId="166" fontId="25" fillId="8" borderId="17" xfId="1" applyFont="1" applyFill="1" applyBorder="1" applyAlignment="1">
      <alignment vertical="center"/>
    </xf>
    <xf numFmtId="166" fontId="22" fillId="8" borderId="11" xfId="1" applyFont="1" applyFill="1" applyBorder="1" applyAlignment="1">
      <alignment horizontal="left" wrapText="1"/>
    </xf>
    <xf numFmtId="166" fontId="25" fillId="8" borderId="11" xfId="1" applyFont="1" applyFill="1" applyBorder="1" applyAlignment="1">
      <alignment vertical="center" wrapText="1"/>
    </xf>
    <xf numFmtId="166" fontId="25" fillId="8" borderId="11" xfId="1" applyFont="1" applyFill="1" applyBorder="1" applyAlignment="1">
      <alignment horizontal="center" vertical="center"/>
    </xf>
    <xf numFmtId="166" fontId="25" fillId="8" borderId="11" xfId="1" applyFont="1" applyFill="1" applyBorder="1" applyAlignment="1">
      <alignment horizontal="center"/>
    </xf>
    <xf numFmtId="166" fontId="25" fillId="8" borderId="11" xfId="1" applyFont="1" applyFill="1" applyBorder="1"/>
    <xf numFmtId="166" fontId="6" fillId="8" borderId="8" xfId="1" applyFont="1" applyFill="1" applyBorder="1" applyAlignment="1">
      <alignment wrapText="1"/>
    </xf>
    <xf numFmtId="166" fontId="25" fillId="9" borderId="17" xfId="1" applyFont="1" applyFill="1" applyBorder="1" applyAlignment="1">
      <alignment vertical="center"/>
    </xf>
    <xf numFmtId="166" fontId="22" fillId="9" borderId="11" xfId="1" applyFont="1" applyFill="1" applyBorder="1" applyAlignment="1">
      <alignment horizontal="left" wrapText="1"/>
    </xf>
    <xf numFmtId="166" fontId="25" fillId="9" borderId="11" xfId="1" applyFont="1" applyFill="1" applyBorder="1" applyAlignment="1">
      <alignment vertical="center" wrapText="1"/>
    </xf>
    <xf numFmtId="166" fontId="25" fillId="9" borderId="11" xfId="1" applyFont="1" applyFill="1" applyBorder="1" applyAlignment="1">
      <alignment horizontal="center" vertical="center"/>
    </xf>
    <xf numFmtId="166" fontId="25" fillId="9" borderId="11" xfId="1" applyFont="1" applyFill="1" applyBorder="1" applyAlignment="1">
      <alignment horizontal="center"/>
    </xf>
    <xf numFmtId="166" fontId="25" fillId="9" borderId="11" xfId="1" applyFont="1" applyFill="1" applyBorder="1"/>
    <xf numFmtId="166" fontId="22" fillId="9" borderId="8" xfId="1" applyFont="1" applyFill="1" applyBorder="1"/>
    <xf numFmtId="166" fontId="25" fillId="0" borderId="31" xfId="1" applyFont="1" applyBorder="1" applyAlignment="1">
      <alignment vertical="center"/>
    </xf>
    <xf numFmtId="166" fontId="25" fillId="0" borderId="0" xfId="1" applyFont="1" applyAlignment="1">
      <alignment horizontal="left" wrapText="1"/>
    </xf>
    <xf numFmtId="166" fontId="25" fillId="0" borderId="0" xfId="1" applyFont="1" applyAlignment="1">
      <alignment vertical="center" wrapText="1"/>
    </xf>
    <xf numFmtId="166" fontId="25" fillId="0" borderId="0" xfId="1" applyFont="1" applyAlignment="1">
      <alignment horizontal="center" vertical="center"/>
    </xf>
    <xf numFmtId="166" fontId="25" fillId="0" borderId="0" xfId="1" applyFont="1" applyAlignment="1">
      <alignment horizontal="center"/>
    </xf>
    <xf numFmtId="166" fontId="32" fillId="0" borderId="32" xfId="1" applyFont="1" applyBorder="1"/>
    <xf numFmtId="166" fontId="25" fillId="0" borderId="13" xfId="1" applyFont="1" applyBorder="1" applyAlignment="1">
      <alignment horizontal="left" wrapText="1"/>
    </xf>
    <xf numFmtId="166" fontId="25" fillId="0" borderId="13" xfId="1" applyFont="1" applyBorder="1" applyAlignment="1">
      <alignment horizontal="center" vertical="center"/>
    </xf>
    <xf numFmtId="166" fontId="25" fillId="0" borderId="38" xfId="1" applyFont="1" applyBorder="1" applyAlignment="1">
      <alignment horizontal="center" vertical="center"/>
    </xf>
    <xf numFmtId="166" fontId="27" fillId="0" borderId="0" xfId="1" applyFont="1" applyAlignment="1">
      <alignment horizontal="center" wrapText="1"/>
    </xf>
    <xf numFmtId="166" fontId="6" fillId="0" borderId="15" xfId="1" applyFont="1" applyBorder="1" applyAlignment="1">
      <alignment horizontal="center" vertical="center"/>
    </xf>
    <xf numFmtId="166" fontId="6" fillId="0" borderId="16" xfId="1" applyFont="1" applyBorder="1" applyAlignment="1">
      <alignment horizontal="center" vertical="center"/>
    </xf>
    <xf numFmtId="166" fontId="25" fillId="0" borderId="39" xfId="1" applyFont="1" applyBorder="1" applyAlignment="1">
      <alignment vertical="center"/>
    </xf>
    <xf numFmtId="166" fontId="25" fillId="0" borderId="13" xfId="1" applyFont="1" applyBorder="1" applyAlignment="1">
      <alignment vertical="center" wrapText="1"/>
    </xf>
    <xf numFmtId="166" fontId="25" fillId="0" borderId="13" xfId="1" applyFont="1" applyBorder="1" applyAlignment="1">
      <alignment horizontal="center" vertical="center"/>
    </xf>
    <xf numFmtId="166" fontId="25" fillId="0" borderId="13" xfId="1" applyFont="1" applyBorder="1" applyAlignment="1">
      <alignment horizontal="center"/>
    </xf>
    <xf numFmtId="166" fontId="25" fillId="0" borderId="13" xfId="1" applyFont="1" applyBorder="1"/>
    <xf numFmtId="166" fontId="32" fillId="0" borderId="38" xfId="1" applyFont="1" applyBorder="1"/>
    <xf numFmtId="166" fontId="8" fillId="0" borderId="0" xfId="1" applyFont="1" applyAlignment="1">
      <alignment horizontal="center" vertical="center" wrapText="1"/>
    </xf>
    <xf numFmtId="0" fontId="16" fillId="0" borderId="0" xfId="0" applyFont="1" applyAlignment="1">
      <alignment wrapText="1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166" fontId="8" fillId="0" borderId="34" xfId="1" applyFont="1" applyBorder="1" applyAlignment="1">
      <alignment horizontal="center" vertical="center"/>
    </xf>
    <xf numFmtId="166" fontId="10" fillId="0" borderId="0" xfId="1" applyFont="1" applyAlignment="1">
      <alignment wrapText="1"/>
    </xf>
    <xf numFmtId="166" fontId="15" fillId="0" borderId="7" xfId="1" applyFont="1" applyBorder="1" applyAlignment="1">
      <alignment horizontal="center" vertical="center" wrapText="1"/>
    </xf>
    <xf numFmtId="166" fontId="8" fillId="0" borderId="4" xfId="1" applyFont="1" applyBorder="1" applyAlignment="1">
      <alignment horizontal="center" vertical="center"/>
    </xf>
    <xf numFmtId="166" fontId="8" fillId="0" borderId="11" xfId="1" applyFont="1" applyBorder="1" applyAlignment="1">
      <alignment horizontal="center" vertical="center"/>
    </xf>
    <xf numFmtId="166" fontId="8" fillId="0" borderId="12" xfId="1" applyFont="1" applyBorder="1" applyAlignment="1">
      <alignment horizontal="center" vertical="center"/>
    </xf>
    <xf numFmtId="166" fontId="9" fillId="10" borderId="4" xfId="1" applyFont="1" applyFill="1" applyBorder="1" applyAlignment="1">
      <alignment vertical="center"/>
    </xf>
    <xf numFmtId="166" fontId="9" fillId="10" borderId="4" xfId="1" applyFont="1" applyFill="1" applyBorder="1" applyAlignment="1">
      <alignment wrapText="1"/>
    </xf>
    <xf numFmtId="166" fontId="9" fillId="10" borderId="11" xfId="1" applyFont="1" applyFill="1" applyBorder="1" applyAlignment="1">
      <alignment horizontal="center" wrapText="1"/>
    </xf>
    <xf numFmtId="166" fontId="9" fillId="10" borderId="11" xfId="1" applyFont="1" applyFill="1" applyBorder="1" applyAlignment="1">
      <alignment wrapText="1"/>
    </xf>
    <xf numFmtId="166" fontId="9" fillId="10" borderId="21" xfId="1" applyFont="1" applyFill="1" applyBorder="1" applyAlignment="1">
      <alignment wrapText="1"/>
    </xf>
    <xf numFmtId="166" fontId="6" fillId="2" borderId="5" xfId="1" applyFont="1" applyFill="1" applyBorder="1" applyAlignment="1">
      <alignment horizontal="left" vertical="center" wrapText="1"/>
    </xf>
    <xf numFmtId="166" fontId="6" fillId="2" borderId="3" xfId="1" applyFont="1" applyFill="1" applyBorder="1" applyAlignment="1">
      <alignment horizontal="center" vertical="center" wrapText="1"/>
    </xf>
    <xf numFmtId="166" fontId="6" fillId="2" borderId="5" xfId="1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66" fontId="8" fillId="2" borderId="15" xfId="1" applyFont="1" applyFill="1" applyBorder="1" applyAlignment="1">
      <alignment horizontal="left" vertical="center" wrapText="1"/>
    </xf>
    <xf numFmtId="166" fontId="8" fillId="2" borderId="15" xfId="1" applyFont="1" applyFill="1" applyBorder="1" applyAlignment="1">
      <alignment horizontal="center" vertical="center" wrapText="1"/>
    </xf>
    <xf numFmtId="166" fontId="8" fillId="0" borderId="15" xfId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9" fillId="10" borderId="8" xfId="1" applyFont="1" applyFill="1" applyBorder="1" applyAlignment="1">
      <alignment horizontal="left" vertical="center"/>
    </xf>
    <xf numFmtId="166" fontId="9" fillId="10" borderId="17" xfId="1" applyFont="1" applyFill="1" applyBorder="1" applyAlignment="1">
      <alignment vertical="center" wrapText="1"/>
    </xf>
    <xf numFmtId="166" fontId="9" fillId="10" borderId="11" xfId="1" applyFont="1" applyFill="1" applyBorder="1" applyAlignment="1">
      <alignment horizontal="center" vertical="center" wrapText="1"/>
    </xf>
    <xf numFmtId="166" fontId="9" fillId="10" borderId="11" xfId="1" applyFont="1" applyFill="1" applyBorder="1" applyAlignment="1">
      <alignment vertical="center" wrapText="1"/>
    </xf>
    <xf numFmtId="166" fontId="9" fillId="10" borderId="21" xfId="1" applyFont="1" applyFill="1" applyBorder="1" applyAlignment="1">
      <alignment vertical="center" wrapText="1"/>
    </xf>
    <xf numFmtId="166" fontId="9" fillId="10" borderId="23" xfId="1" applyFont="1" applyFill="1" applyBorder="1" applyAlignment="1">
      <alignment vertical="center" wrapText="1"/>
    </xf>
    <xf numFmtId="0" fontId="8" fillId="0" borderId="3" xfId="1" applyNumberFormat="1" applyFont="1" applyBorder="1" applyAlignment="1">
      <alignment horizontal="left" vertical="center" wrapText="1" shrinkToFit="1"/>
    </xf>
    <xf numFmtId="43" fontId="8" fillId="0" borderId="3" xfId="1" applyNumberFormat="1" applyFont="1" applyBorder="1" applyAlignment="1">
      <alignment horizontal="right" vertical="center" wrapText="1" shrinkToFit="1"/>
    </xf>
    <xf numFmtId="166" fontId="8" fillId="7" borderId="5" xfId="1" applyFont="1" applyFill="1" applyBorder="1" applyAlignment="1">
      <alignment horizontal="left" vertical="center"/>
    </xf>
    <xf numFmtId="165" fontId="9" fillId="2" borderId="3" xfId="2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right" vertical="center" wrapText="1" shrinkToFit="1"/>
    </xf>
    <xf numFmtId="0" fontId="6" fillId="0" borderId="5" xfId="1" applyNumberFormat="1" applyFont="1" applyBorder="1" applyAlignment="1">
      <alignment horizontal="left" vertical="top" wrapText="1" shrinkToFit="1"/>
    </xf>
    <xf numFmtId="165" fontId="9" fillId="2" borderId="3" xfId="2" applyFont="1" applyFill="1" applyBorder="1" applyAlignment="1">
      <alignment horizontal="center" vertical="center"/>
    </xf>
    <xf numFmtId="166" fontId="9" fillId="0" borderId="19" xfId="1" applyFont="1" applyBorder="1" applyAlignment="1">
      <alignment horizontal="center" vertical="center"/>
    </xf>
    <xf numFmtId="166" fontId="9" fillId="10" borderId="4" xfId="1" applyFont="1" applyFill="1" applyBorder="1" applyAlignment="1">
      <alignment horizontal="left" vertical="center" wrapText="1"/>
    </xf>
    <xf numFmtId="166" fontId="9" fillId="10" borderId="11" xfId="1" applyFont="1" applyFill="1" applyBorder="1" applyAlignment="1">
      <alignment horizontal="left" vertical="center" wrapText="1"/>
    </xf>
    <xf numFmtId="166" fontId="9" fillId="10" borderId="12" xfId="1" applyFont="1" applyFill="1" applyBorder="1" applyAlignment="1">
      <alignment horizontal="left" vertical="center" wrapText="1"/>
    </xf>
    <xf numFmtId="166" fontId="6" fillId="0" borderId="5" xfId="1" applyFont="1" applyBorder="1" applyAlignment="1">
      <alignment horizontal="center" vertical="center" wrapText="1"/>
    </xf>
    <xf numFmtId="166" fontId="8" fillId="0" borderId="22" xfId="1" applyFont="1" applyBorder="1" applyAlignment="1">
      <alignment horizontal="center" vertical="center"/>
    </xf>
    <xf numFmtId="166" fontId="8" fillId="0" borderId="27" xfId="1" applyFont="1" applyBorder="1" applyAlignment="1">
      <alignment horizontal="center" vertical="center"/>
    </xf>
    <xf numFmtId="166" fontId="8" fillId="0" borderId="5" xfId="1" applyFont="1" applyBorder="1" applyAlignment="1">
      <alignment horizontal="center" vertical="center" wrapText="1"/>
    </xf>
    <xf numFmtId="166" fontId="8" fillId="0" borderId="10" xfId="1" applyFont="1" applyBorder="1" applyAlignment="1">
      <alignment horizontal="center" vertical="center"/>
    </xf>
    <xf numFmtId="166" fontId="33" fillId="0" borderId="5" xfId="1" applyFont="1" applyBorder="1" applyAlignment="1">
      <alignment horizontal="center" vertical="center" wrapText="1"/>
    </xf>
    <xf numFmtId="166" fontId="8" fillId="0" borderId="3" xfId="1" applyFont="1" applyBorder="1" applyAlignment="1">
      <alignment horizontal="center" vertical="center"/>
    </xf>
    <xf numFmtId="166" fontId="8" fillId="0" borderId="40" xfId="1" applyFont="1" applyBorder="1" applyAlignment="1">
      <alignment vertical="center"/>
    </xf>
    <xf numFmtId="49" fontId="6" fillId="0" borderId="5" xfId="1" applyNumberFormat="1" applyFont="1" applyBorder="1" applyAlignment="1">
      <alignment horizontal="left" vertical="center" wrapText="1"/>
    </xf>
    <xf numFmtId="166" fontId="6" fillId="0" borderId="3" xfId="1" applyFont="1" applyBorder="1" applyAlignment="1">
      <alignment horizontal="center" vertical="center"/>
    </xf>
    <xf numFmtId="166" fontId="9" fillId="10" borderId="4" xfId="1" applyFont="1" applyFill="1" applyBorder="1" applyAlignment="1">
      <alignment vertical="center" wrapText="1"/>
    </xf>
    <xf numFmtId="166" fontId="33" fillId="0" borderId="5" xfId="1" applyFont="1" applyBorder="1" applyAlignment="1">
      <alignment vertical="center"/>
    </xf>
    <xf numFmtId="166" fontId="33" fillId="0" borderId="5" xfId="1" applyFont="1" applyBorder="1" applyAlignment="1">
      <alignment horizontal="left" vertical="center" wrapText="1"/>
    </xf>
    <xf numFmtId="166" fontId="33" fillId="7" borderId="5" xfId="1" applyFont="1" applyFill="1" applyBorder="1" applyAlignment="1">
      <alignment horizontal="left" vertical="center"/>
    </xf>
    <xf numFmtId="166" fontId="33" fillId="0" borderId="5" xfId="1" applyFont="1" applyBorder="1" applyAlignment="1">
      <alignment horizontal="left" vertical="center"/>
    </xf>
    <xf numFmtId="165" fontId="33" fillId="0" borderId="5" xfId="2" applyFont="1" applyBorder="1" applyAlignment="1">
      <alignment horizontal="left" vertical="center"/>
    </xf>
    <xf numFmtId="165" fontId="33" fillId="2" borderId="5" xfId="2" applyFont="1" applyFill="1" applyBorder="1" applyAlignment="1">
      <alignment horizontal="left" vertical="center"/>
    </xf>
    <xf numFmtId="166" fontId="8" fillId="0" borderId="3" xfId="1" applyFont="1" applyBorder="1" applyAlignment="1">
      <alignment horizontal="center" vertical="center" wrapText="1"/>
    </xf>
    <xf numFmtId="166" fontId="9" fillId="7" borderId="6" xfId="1" applyFont="1" applyFill="1" applyBorder="1" applyAlignment="1">
      <alignment horizontal="center" vertical="center" wrapText="1"/>
    </xf>
    <xf numFmtId="166" fontId="8" fillId="7" borderId="21" xfId="1" applyFont="1" applyFill="1" applyBorder="1"/>
    <xf numFmtId="166" fontId="10" fillId="8" borderId="11" xfId="1" applyFont="1" applyFill="1" applyBorder="1" applyAlignment="1">
      <alignment horizontal="center" vertical="center" wrapText="1"/>
    </xf>
    <xf numFmtId="166" fontId="10" fillId="9" borderId="11" xfId="1" applyFont="1" applyFill="1" applyBorder="1" applyAlignment="1">
      <alignment horizontal="center" vertical="center" wrapText="1"/>
    </xf>
    <xf numFmtId="166" fontId="10" fillId="0" borderId="0" xfId="1" applyFont="1" applyAlignment="1">
      <alignment horizontal="center" vertical="center" wrapText="1"/>
    </xf>
    <xf numFmtId="49" fontId="34" fillId="0" borderId="0" xfId="1" applyNumberFormat="1" applyFont="1" applyAlignment="1">
      <alignment horizontal="left" wrapText="1"/>
    </xf>
    <xf numFmtId="49" fontId="34" fillId="0" borderId="0" xfId="1" applyNumberFormat="1" applyFont="1" applyAlignment="1">
      <alignment horizontal="left" wrapText="1"/>
    </xf>
    <xf numFmtId="166" fontId="10" fillId="0" borderId="13" xfId="1" applyFont="1" applyBorder="1" applyAlignment="1">
      <alignment horizontal="center" vertical="center"/>
    </xf>
    <xf numFmtId="166" fontId="8" fillId="0" borderId="10" xfId="1" applyFont="1" applyBorder="1" applyAlignment="1">
      <alignment horizontal="center" vertical="center" wrapText="1"/>
    </xf>
    <xf numFmtId="166" fontId="8" fillId="0" borderId="3" xfId="1" applyFont="1" applyBorder="1" applyAlignment="1">
      <alignment vertical="center" wrapText="1"/>
    </xf>
    <xf numFmtId="166" fontId="8" fillId="0" borderId="27" xfId="1" applyFont="1" applyBorder="1" applyAlignment="1">
      <alignment horizontal="center" vertical="center" wrapText="1"/>
    </xf>
    <xf numFmtId="166" fontId="8" fillId="0" borderId="5" xfId="1" applyFont="1" applyBorder="1" applyAlignment="1">
      <alignment horizontal="center" vertical="center" wrapText="1"/>
    </xf>
    <xf numFmtId="165" fontId="9" fillId="2" borderId="22" xfId="2" applyFont="1" applyFill="1" applyBorder="1" applyAlignment="1">
      <alignment horizontal="center" vertical="center"/>
    </xf>
    <xf numFmtId="165" fontId="9" fillId="2" borderId="10" xfId="2" applyFont="1" applyFill="1" applyBorder="1" applyAlignment="1">
      <alignment horizontal="center" vertical="center"/>
    </xf>
    <xf numFmtId="165" fontId="9" fillId="2" borderId="5" xfId="2" applyFont="1" applyFill="1" applyBorder="1" applyAlignment="1">
      <alignment horizontal="center" vertical="center"/>
    </xf>
    <xf numFmtId="166" fontId="8" fillId="0" borderId="14" xfId="1" applyFont="1" applyBorder="1"/>
    <xf numFmtId="166" fontId="8" fillId="0" borderId="15" xfId="1" applyFont="1" applyBorder="1" applyAlignment="1">
      <alignment horizontal="left" wrapText="1"/>
    </xf>
    <xf numFmtId="166" fontId="8" fillId="0" borderId="15" xfId="1" applyFont="1" applyBorder="1" applyAlignment="1">
      <alignment vertical="center" wrapText="1"/>
    </xf>
    <xf numFmtId="166" fontId="8" fillId="0" borderId="15" xfId="1" applyFont="1" applyBorder="1" applyAlignment="1">
      <alignment horizontal="center"/>
    </xf>
    <xf numFmtId="166" fontId="8" fillId="0" borderId="15" xfId="1" applyFont="1" applyBorder="1"/>
    <xf numFmtId="166" fontId="9" fillId="0" borderId="16" xfId="1" applyFont="1" applyBorder="1"/>
    <xf numFmtId="0" fontId="17" fillId="0" borderId="31" xfId="0" applyFont="1" applyBorder="1" applyAlignment="1">
      <alignment horizontal="center" wrapText="1"/>
    </xf>
    <xf numFmtId="0" fontId="17" fillId="0" borderId="32" xfId="0" applyFont="1" applyBorder="1" applyAlignment="1">
      <alignment horizont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2" fontId="4" fillId="0" borderId="31" xfId="0" applyNumberFormat="1" applyFont="1" applyBorder="1" applyAlignment="1">
      <alignment horizontal="right" vertical="center"/>
    </xf>
    <xf numFmtId="0" fontId="4" fillId="0" borderId="32" xfId="0" applyFont="1" applyBorder="1"/>
    <xf numFmtId="166" fontId="8" fillId="0" borderId="31" xfId="1" applyFont="1" applyBorder="1"/>
    <xf numFmtId="166" fontId="9" fillId="0" borderId="32" xfId="1" applyFont="1" applyBorder="1"/>
    <xf numFmtId="166" fontId="9" fillId="0" borderId="6" xfId="1" applyFont="1" applyBorder="1"/>
    <xf numFmtId="166" fontId="9" fillId="0" borderId="6" xfId="1" applyFont="1" applyBorder="1" applyAlignment="1">
      <alignment horizontal="left" wrapText="1"/>
    </xf>
    <xf numFmtId="166" fontId="9" fillId="0" borderId="6" xfId="1" applyFont="1" applyBorder="1" applyAlignment="1">
      <alignment vertical="center" wrapText="1"/>
    </xf>
    <xf numFmtId="166" fontId="8" fillId="0" borderId="6" xfId="1" applyFont="1" applyBorder="1" applyAlignment="1">
      <alignment horizontal="center" vertical="center"/>
    </xf>
    <xf numFmtId="166" fontId="8" fillId="0" borderId="6" xfId="1" applyFont="1" applyBorder="1" applyAlignment="1">
      <alignment horizontal="center"/>
    </xf>
    <xf numFmtId="166" fontId="8" fillId="0" borderId="6" xfId="1" applyFont="1" applyBorder="1"/>
    <xf numFmtId="166" fontId="8" fillId="0" borderId="5" xfId="1" applyFont="1" applyBorder="1"/>
    <xf numFmtId="166" fontId="8" fillId="2" borderId="5" xfId="1" applyFont="1" applyFill="1" applyBorder="1" applyAlignment="1">
      <alignment wrapText="1"/>
    </xf>
    <xf numFmtId="166" fontId="8" fillId="2" borderId="5" xfId="1" applyFont="1" applyFill="1" applyBorder="1" applyAlignment="1">
      <alignment vertical="center" wrapText="1"/>
    </xf>
    <xf numFmtId="166" fontId="8" fillId="7" borderId="5" xfId="1" applyFont="1" applyFill="1" applyBorder="1" applyAlignment="1">
      <alignment horizontal="center" vertical="center"/>
    </xf>
    <xf numFmtId="166" fontId="8" fillId="2" borderId="5" xfId="1" applyFont="1" applyFill="1" applyBorder="1" applyAlignment="1">
      <alignment horizontal="center" vertical="center"/>
    </xf>
    <xf numFmtId="166" fontId="8" fillId="2" borderId="22" xfId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166" fontId="8" fillId="2" borderId="10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166" fontId="8" fillId="2" borderId="3" xfId="1" applyFont="1" applyFill="1" applyBorder="1" applyAlignment="1">
      <alignment wrapText="1"/>
    </xf>
    <xf numFmtId="166" fontId="8" fillId="2" borderId="3" xfId="1" applyFont="1" applyFill="1" applyBorder="1" applyAlignment="1">
      <alignment vertical="center" wrapText="1"/>
    </xf>
    <xf numFmtId="166" fontId="8" fillId="7" borderId="3" xfId="1" applyFont="1" applyFill="1" applyBorder="1" applyAlignment="1">
      <alignment horizontal="center" vertical="center"/>
    </xf>
    <xf numFmtId="166" fontId="8" fillId="2" borderId="3" xfId="1" applyFont="1" applyFill="1" applyBorder="1" applyAlignment="1">
      <alignment horizontal="center" vertical="center"/>
    </xf>
    <xf numFmtId="166" fontId="8" fillId="0" borderId="5" xfId="1" applyFont="1" applyBorder="1" applyAlignment="1">
      <alignment wrapText="1"/>
    </xf>
    <xf numFmtId="166" fontId="8" fillId="0" borderId="5" xfId="1" applyFont="1" applyBorder="1" applyAlignment="1">
      <alignment vertical="center" wrapText="1"/>
    </xf>
    <xf numFmtId="166" fontId="8" fillId="0" borderId="3" xfId="1" applyFont="1" applyBorder="1" applyAlignment="1">
      <alignment horizontal="center" vertical="center"/>
    </xf>
    <xf numFmtId="166" fontId="6" fillId="0" borderId="3" xfId="1" applyFont="1" applyBorder="1" applyAlignment="1">
      <alignment vertical="center" wrapText="1"/>
    </xf>
    <xf numFmtId="166" fontId="8" fillId="2" borderId="5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66" fontId="8" fillId="0" borderId="27" xfId="1" applyFont="1" applyBorder="1" applyAlignment="1">
      <alignment horizontal="left" vertical="center"/>
    </xf>
    <xf numFmtId="166" fontId="8" fillId="0" borderId="27" xfId="1" applyFont="1" applyBorder="1" applyAlignment="1">
      <alignment horizontal="left" wrapText="1"/>
    </xf>
    <xf numFmtId="166" fontId="8" fillId="0" borderId="27" xfId="1" applyFont="1" applyBorder="1" applyAlignment="1">
      <alignment vertical="center" wrapText="1"/>
    </xf>
    <xf numFmtId="166" fontId="8" fillId="7" borderId="27" xfId="1" applyFont="1" applyFill="1" applyBorder="1" applyAlignment="1">
      <alignment horizontal="center" vertical="center"/>
    </xf>
    <xf numFmtId="166" fontId="8" fillId="0" borderId="27" xfId="1" applyFont="1" applyBorder="1" applyAlignment="1">
      <alignment horizontal="center" vertical="center"/>
    </xf>
    <xf numFmtId="166" fontId="8" fillId="2" borderId="27" xfId="1" applyFont="1" applyFill="1" applyBorder="1"/>
    <xf numFmtId="0" fontId="8" fillId="0" borderId="27" xfId="0" applyFont="1" applyBorder="1"/>
    <xf numFmtId="166" fontId="9" fillId="0" borderId="6" xfId="1" applyFont="1" applyBorder="1" applyAlignment="1">
      <alignment horizontal="left" vertical="center"/>
    </xf>
    <xf numFmtId="166" fontId="8" fillId="7" borderId="6" xfId="1" applyFont="1" applyFill="1" applyBorder="1" applyAlignment="1">
      <alignment horizontal="center" vertical="center"/>
    </xf>
    <xf numFmtId="166" fontId="8" fillId="2" borderId="6" xfId="1" applyFont="1" applyFill="1" applyBorder="1"/>
    <xf numFmtId="165" fontId="9" fillId="11" borderId="6" xfId="2" applyFont="1" applyFill="1" applyBorder="1"/>
    <xf numFmtId="0" fontId="8" fillId="0" borderId="5" xfId="1" applyNumberFormat="1" applyFont="1" applyBorder="1" applyAlignment="1">
      <alignment horizontal="left" wrapText="1" shrinkToFit="1"/>
    </xf>
    <xf numFmtId="0" fontId="8" fillId="0" borderId="5" xfId="1" applyNumberFormat="1" applyFont="1" applyBorder="1" applyAlignment="1">
      <alignment vertical="center" wrapText="1" shrinkToFit="1"/>
    </xf>
    <xf numFmtId="166" fontId="8" fillId="2" borderId="5" xfId="1" applyFont="1" applyFill="1" applyBorder="1" applyAlignment="1">
      <alignment vertical="center"/>
    </xf>
    <xf numFmtId="165" fontId="9" fillId="2" borderId="5" xfId="2" applyFont="1" applyFill="1" applyBorder="1"/>
    <xf numFmtId="166" fontId="8" fillId="0" borderId="27" xfId="1" applyFont="1" applyBorder="1"/>
    <xf numFmtId="0" fontId="8" fillId="0" borderId="27" xfId="1" applyNumberFormat="1" applyFont="1" applyBorder="1" applyAlignment="1">
      <alignment horizontal="left" wrapText="1" shrinkToFit="1"/>
    </xf>
    <xf numFmtId="0" fontId="8" fillId="0" borderId="27" xfId="1" applyNumberFormat="1" applyFont="1" applyBorder="1" applyAlignment="1">
      <alignment vertical="center" wrapText="1" shrinkToFit="1"/>
    </xf>
    <xf numFmtId="166" fontId="9" fillId="0" borderId="6" xfId="1" applyFont="1" applyBorder="1" applyAlignment="1">
      <alignment wrapText="1"/>
    </xf>
    <xf numFmtId="166" fontId="9" fillId="7" borderId="6" xfId="1" applyFont="1" applyFill="1" applyBorder="1" applyAlignment="1">
      <alignment horizontal="center" vertical="center"/>
    </xf>
    <xf numFmtId="166" fontId="9" fillId="0" borderId="6" xfId="1" applyFont="1" applyBorder="1" applyAlignment="1">
      <alignment horizontal="center" vertical="center"/>
    </xf>
    <xf numFmtId="166" fontId="9" fillId="2" borderId="6" xfId="1" applyFont="1" applyFill="1" applyBorder="1"/>
    <xf numFmtId="166" fontId="8" fillId="0" borderId="3" xfId="1" applyFont="1" applyBorder="1"/>
    <xf numFmtId="166" fontId="8" fillId="2" borderId="3" xfId="1" applyFont="1" applyFill="1" applyBorder="1"/>
    <xf numFmtId="165" fontId="8" fillId="0" borderId="3" xfId="2" applyFont="1" applyBorder="1" applyAlignment="1">
      <alignment vertical="center"/>
    </xf>
    <xf numFmtId="165" fontId="8" fillId="2" borderId="3" xfId="2" applyFont="1" applyFill="1" applyBorder="1" applyAlignment="1">
      <alignment vertical="center"/>
    </xf>
    <xf numFmtId="165" fontId="8" fillId="0" borderId="3" xfId="2" applyFont="1" applyBorder="1"/>
    <xf numFmtId="165" fontId="8" fillId="2" borderId="3" xfId="2" applyFont="1" applyFill="1" applyBorder="1"/>
    <xf numFmtId="166" fontId="35" fillId="0" borderId="3" xfId="1" applyFont="1" applyBorder="1"/>
    <xf numFmtId="166" fontId="8" fillId="0" borderId="10" xfId="1" applyFont="1" applyBorder="1"/>
    <xf numFmtId="165" fontId="8" fillId="0" borderId="27" xfId="2" applyFont="1" applyBorder="1"/>
    <xf numFmtId="165" fontId="8" fillId="2" borderId="27" xfId="2" applyFont="1" applyFill="1" applyBorder="1"/>
    <xf numFmtId="166" fontId="9" fillId="0" borderId="17" xfId="1" applyFont="1" applyBorder="1"/>
    <xf numFmtId="166" fontId="9" fillId="0" borderId="9" xfId="1" applyFont="1" applyBorder="1" applyAlignment="1">
      <alignment wrapText="1"/>
    </xf>
    <xf numFmtId="166" fontId="9" fillId="0" borderId="9" xfId="1" applyFont="1" applyBorder="1" applyAlignment="1">
      <alignment vertical="center" wrapText="1"/>
    </xf>
    <xf numFmtId="165" fontId="8" fillId="0" borderId="6" xfId="2" applyFont="1" applyBorder="1"/>
    <xf numFmtId="165" fontId="8" fillId="2" borderId="6" xfId="2" applyFont="1" applyFill="1" applyBorder="1"/>
    <xf numFmtId="166" fontId="8" fillId="0" borderId="31" xfId="1" applyFont="1" applyBorder="1" applyAlignment="1">
      <alignment vertical="center"/>
    </xf>
    <xf numFmtId="166" fontId="8" fillId="0" borderId="32" xfId="1" applyFont="1" applyBorder="1" applyAlignment="1">
      <alignment vertical="center" wrapText="1"/>
    </xf>
    <xf numFmtId="166" fontId="8" fillId="7" borderId="10" xfId="1" applyFont="1" applyFill="1" applyBorder="1" applyAlignment="1">
      <alignment horizontal="center" vertical="center"/>
    </xf>
    <xf numFmtId="166" fontId="8" fillId="0" borderId="10" xfId="1" applyFont="1" applyBorder="1" applyAlignment="1">
      <alignment horizontal="center" vertical="center"/>
    </xf>
    <xf numFmtId="165" fontId="8" fillId="0" borderId="10" xfId="2" applyFont="1" applyBorder="1" applyAlignment="1">
      <alignment vertical="center"/>
    </xf>
    <xf numFmtId="165" fontId="8" fillId="2" borderId="10" xfId="2" applyFont="1" applyFill="1" applyBorder="1" applyAlignment="1">
      <alignment vertical="center"/>
    </xf>
    <xf numFmtId="166" fontId="8" fillId="0" borderId="10" xfId="1" applyFont="1" applyBorder="1" applyAlignment="1">
      <alignment vertical="center"/>
    </xf>
    <xf numFmtId="165" fontId="8" fillId="2" borderId="5" xfId="2" applyFont="1" applyFill="1" applyBorder="1" applyAlignment="1">
      <alignment vertical="center"/>
    </xf>
    <xf numFmtId="166" fontId="8" fillId="0" borderId="0" xfId="1" applyFont="1" applyAlignment="1">
      <alignment wrapText="1"/>
    </xf>
    <xf numFmtId="165" fontId="8" fillId="0" borderId="0" xfId="2" applyFont="1"/>
    <xf numFmtId="165" fontId="8" fillId="2" borderId="0" xfId="2" applyFont="1" applyFill="1"/>
    <xf numFmtId="166" fontId="8" fillId="0" borderId="32" xfId="1" applyFont="1" applyBorder="1"/>
    <xf numFmtId="166" fontId="9" fillId="0" borderId="11" xfId="1" applyFont="1" applyBorder="1" applyAlignment="1">
      <alignment wrapText="1"/>
    </xf>
    <xf numFmtId="166" fontId="9" fillId="0" borderId="11" xfId="1" applyFont="1" applyBorder="1" applyAlignment="1">
      <alignment vertical="center" wrapText="1"/>
    </xf>
    <xf numFmtId="166" fontId="8" fillId="0" borderId="11" xfId="1" applyFont="1" applyBorder="1" applyAlignment="1">
      <alignment horizontal="center" vertical="center"/>
    </xf>
    <xf numFmtId="165" fontId="8" fillId="0" borderId="9" xfId="2" applyFont="1" applyBorder="1"/>
    <xf numFmtId="166" fontId="9" fillId="0" borderId="31" xfId="1" applyFont="1" applyBorder="1"/>
    <xf numFmtId="166" fontId="9" fillId="0" borderId="0" xfId="1" applyFont="1" applyAlignment="1">
      <alignment wrapText="1"/>
    </xf>
    <xf numFmtId="166" fontId="8" fillId="0" borderId="17" xfId="1" applyFont="1" applyBorder="1"/>
    <xf numFmtId="166" fontId="9" fillId="0" borderId="11" xfId="1" applyFont="1" applyBorder="1" applyAlignment="1">
      <alignment horizontal="left" wrapText="1"/>
    </xf>
    <xf numFmtId="166" fontId="21" fillId="0" borderId="11" xfId="1" applyFont="1" applyBorder="1" applyAlignment="1">
      <alignment vertical="center" wrapText="1"/>
    </xf>
    <xf numFmtId="10" fontId="6" fillId="0" borderId="11" xfId="26" applyNumberFormat="1" applyFont="1" applyBorder="1" applyAlignment="1">
      <alignment horizontal="center" vertical="center"/>
    </xf>
    <xf numFmtId="4" fontId="6" fillId="0" borderId="11" xfId="4" applyNumberFormat="1" applyFont="1" applyBorder="1" applyAlignment="1">
      <alignment horizontal="center" vertical="center"/>
    </xf>
    <xf numFmtId="166" fontId="6" fillId="0" borderId="11" xfId="26" applyFont="1" applyBorder="1"/>
    <xf numFmtId="166" fontId="6" fillId="0" borderId="9" xfId="26" applyFont="1" applyBorder="1"/>
    <xf numFmtId="9" fontId="30" fillId="0" borderId="5" xfId="25" applyFont="1" applyBorder="1" applyAlignment="1">
      <alignment horizontal="right" vertical="center" wrapText="1"/>
    </xf>
    <xf numFmtId="168" fontId="36" fillId="0" borderId="5" xfId="0" applyNumberFormat="1" applyFont="1" applyBorder="1" applyAlignment="1">
      <alignment vertical="center"/>
    </xf>
    <xf numFmtId="169" fontId="12" fillId="0" borderId="5" xfId="0" applyNumberFormat="1" applyFont="1" applyBorder="1"/>
    <xf numFmtId="0" fontId="0" fillId="0" borderId="5" xfId="0" applyBorder="1"/>
    <xf numFmtId="9" fontId="30" fillId="0" borderId="3" xfId="25" applyFont="1" applyBorder="1" applyAlignment="1">
      <alignment horizontal="right" vertical="center" wrapText="1"/>
    </xf>
    <xf numFmtId="168" fontId="36" fillId="0" borderId="3" xfId="0" applyNumberFormat="1" applyFont="1" applyBorder="1" applyAlignment="1">
      <alignment vertical="center"/>
    </xf>
    <xf numFmtId="169" fontId="12" fillId="0" borderId="3" xfId="0" applyNumberFormat="1" applyFont="1" applyBorder="1"/>
    <xf numFmtId="0" fontId="0" fillId="0" borderId="3" xfId="0" applyBorder="1"/>
    <xf numFmtId="10" fontId="30" fillId="0" borderId="3" xfId="25" applyNumberFormat="1" applyFont="1" applyBorder="1" applyAlignment="1">
      <alignment horizontal="right" vertical="center" wrapText="1"/>
    </xf>
    <xf numFmtId="9" fontId="30" fillId="0" borderId="27" xfId="25" applyFont="1" applyBorder="1" applyAlignment="1">
      <alignment horizontal="right" vertical="center" wrapText="1"/>
    </xf>
    <xf numFmtId="166" fontId="8" fillId="0" borderId="28" xfId="1" applyFont="1" applyBorder="1" applyAlignment="1">
      <alignment vertical="center"/>
    </xf>
    <xf numFmtId="166" fontId="9" fillId="0" borderId="29" xfId="1" applyFont="1" applyBorder="1" applyAlignment="1">
      <alignment horizontal="left" vertical="center" wrapText="1"/>
    </xf>
    <xf numFmtId="166" fontId="21" fillId="0" borderId="29" xfId="1" applyFont="1" applyBorder="1" applyAlignment="1">
      <alignment vertical="center" wrapText="1"/>
    </xf>
    <xf numFmtId="10" fontId="6" fillId="0" borderId="29" xfId="26" applyNumberFormat="1" applyFont="1" applyBorder="1" applyAlignment="1">
      <alignment horizontal="center" vertical="center"/>
    </xf>
    <xf numFmtId="4" fontId="6" fillId="0" borderId="29" xfId="4" applyNumberFormat="1" applyFont="1" applyBorder="1" applyAlignment="1">
      <alignment horizontal="center" vertical="center"/>
    </xf>
    <xf numFmtId="166" fontId="6" fillId="0" borderId="29" xfId="26" applyFont="1" applyBorder="1" applyAlignment="1">
      <alignment vertical="center"/>
    </xf>
    <xf numFmtId="170" fontId="6" fillId="0" borderId="30" xfId="26" applyNumberFormat="1" applyFont="1" applyBorder="1" applyAlignment="1">
      <alignment vertical="center"/>
    </xf>
    <xf numFmtId="166" fontId="9" fillId="0" borderId="4" xfId="1" applyFont="1" applyBorder="1" applyAlignment="1">
      <alignment horizontal="left" vertical="center" wrapText="1"/>
    </xf>
    <xf numFmtId="166" fontId="9" fillId="0" borderId="11" xfId="1" applyFont="1" applyBorder="1" applyAlignment="1">
      <alignment horizontal="left" vertical="center" wrapText="1"/>
    </xf>
    <xf numFmtId="166" fontId="9" fillId="0" borderId="9" xfId="1" applyFont="1" applyBorder="1" applyAlignment="1">
      <alignment horizontal="left" vertical="center" wrapText="1"/>
    </xf>
    <xf numFmtId="165" fontId="9" fillId="11" borderId="7" xfId="2" applyFont="1" applyFill="1" applyBorder="1" applyAlignment="1">
      <alignment vertical="center"/>
    </xf>
    <xf numFmtId="0" fontId="37" fillId="0" borderId="0" xfId="0" applyFont="1" applyFill="1" applyBorder="1"/>
    <xf numFmtId="166" fontId="10" fillId="0" borderId="0" xfId="1" applyFont="1" applyFill="1" applyBorder="1" applyAlignment="1">
      <alignment vertical="center"/>
    </xf>
    <xf numFmtId="166" fontId="38" fillId="0" borderId="0" xfId="1" applyFont="1" applyFill="1" applyBorder="1"/>
    <xf numFmtId="166" fontId="38" fillId="0" borderId="0" xfId="1" applyFont="1" applyFill="1" applyBorder="1" applyAlignment="1">
      <alignment wrapText="1"/>
    </xf>
    <xf numFmtId="0" fontId="16" fillId="0" borderId="0" xfId="0" applyFont="1" applyFill="1" applyBorder="1"/>
    <xf numFmtId="166" fontId="6" fillId="0" borderId="0" xfId="1" applyFont="1" applyAlignment="1">
      <alignment vertical="center"/>
    </xf>
    <xf numFmtId="166" fontId="6" fillId="0" borderId="0" xfId="1" applyFont="1" applyAlignment="1">
      <alignment horizontal="left" wrapText="1"/>
    </xf>
    <xf numFmtId="166" fontId="6" fillId="0" borderId="0" xfId="1" applyFont="1" applyAlignment="1">
      <alignment vertical="center" wrapText="1"/>
    </xf>
    <xf numFmtId="166" fontId="6" fillId="0" borderId="0" xfId="1" applyFont="1" applyAlignment="1">
      <alignment horizontal="center" vertical="center"/>
    </xf>
    <xf numFmtId="166" fontId="6" fillId="0" borderId="0" xfId="1" applyFont="1" applyAlignment="1">
      <alignment horizontal="center"/>
    </xf>
    <xf numFmtId="166" fontId="6" fillId="0" borderId="0" xfId="1" applyFont="1"/>
    <xf numFmtId="166" fontId="22" fillId="0" borderId="0" xfId="1" applyFont="1"/>
    <xf numFmtId="2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166" fontId="24" fillId="0" borderId="8" xfId="1" applyFont="1" applyBorder="1" applyAlignment="1">
      <alignment horizontal="center" vertical="center"/>
    </xf>
    <xf numFmtId="166" fontId="24" fillId="0" borderId="7" xfId="1" applyFont="1" applyBorder="1" applyAlignment="1">
      <alignment horizontal="center" vertical="center"/>
    </xf>
    <xf numFmtId="166" fontId="6" fillId="0" borderId="1" xfId="1" applyFont="1" applyBorder="1" applyAlignment="1">
      <alignment vertical="center"/>
    </xf>
    <xf numFmtId="166" fontId="22" fillId="0" borderId="2" xfId="1" applyFont="1" applyBorder="1"/>
    <xf numFmtId="166" fontId="22" fillId="4" borderId="21" xfId="1" applyFont="1" applyFill="1" applyBorder="1" applyAlignment="1">
      <alignment vertical="center"/>
    </xf>
    <xf numFmtId="166" fontId="6" fillId="4" borderId="17" xfId="1" applyFont="1" applyFill="1" applyBorder="1" applyAlignment="1">
      <alignment horizontal="center" vertical="center"/>
    </xf>
    <xf numFmtId="166" fontId="6" fillId="4" borderId="11" xfId="1" applyFont="1" applyFill="1" applyBorder="1" applyAlignment="1">
      <alignment horizontal="center" vertical="center"/>
    </xf>
    <xf numFmtId="166" fontId="30" fillId="7" borderId="5" xfId="1" applyFont="1" applyFill="1" applyBorder="1" applyAlignment="1">
      <alignment horizontal="left" vertical="center"/>
    </xf>
    <xf numFmtId="166" fontId="30" fillId="7" borderId="3" xfId="1" applyFont="1" applyFill="1" applyBorder="1" applyAlignment="1">
      <alignment horizontal="left" vertical="center"/>
    </xf>
    <xf numFmtId="166" fontId="22" fillId="4" borderId="21" xfId="1" applyFont="1" applyFill="1" applyBorder="1" applyAlignment="1">
      <alignment horizontal="left" vertical="center"/>
    </xf>
    <xf numFmtId="166" fontId="22" fillId="4" borderId="9" xfId="1" applyFont="1" applyFill="1" applyBorder="1" applyAlignment="1">
      <alignment horizontal="left" vertical="center" wrapText="1"/>
    </xf>
    <xf numFmtId="165" fontId="6" fillId="2" borderId="39" xfId="2" applyFont="1" applyFill="1" applyBorder="1" applyAlignment="1">
      <alignment horizontal="left" vertical="center"/>
    </xf>
    <xf numFmtId="166" fontId="22" fillId="4" borderId="23" xfId="1" applyFont="1" applyFill="1" applyBorder="1" applyAlignment="1">
      <alignment vertical="center"/>
    </xf>
    <xf numFmtId="166" fontId="22" fillId="4" borderId="11" xfId="1" applyFont="1" applyFill="1" applyBorder="1" applyAlignment="1">
      <alignment vertical="center" wrapText="1"/>
    </xf>
    <xf numFmtId="166" fontId="22" fillId="4" borderId="11" xfId="1" applyFont="1" applyFill="1" applyBorder="1" applyAlignment="1">
      <alignment horizontal="center" vertical="center" wrapText="1"/>
    </xf>
    <xf numFmtId="166" fontId="30" fillId="7" borderId="10" xfId="1" applyFont="1" applyFill="1" applyBorder="1" applyAlignment="1">
      <alignment horizontal="left" vertical="center"/>
    </xf>
    <xf numFmtId="165" fontId="6" fillId="0" borderId="10" xfId="2" applyFont="1" applyBorder="1" applyAlignment="1">
      <alignment horizontal="left" vertical="center"/>
    </xf>
    <xf numFmtId="165" fontId="6" fillId="2" borderId="3" xfId="2" applyFont="1" applyFill="1" applyBorder="1" applyAlignment="1">
      <alignment horizontal="left" vertical="center"/>
    </xf>
    <xf numFmtId="165" fontId="6" fillId="0" borderId="0" xfId="2" applyFont="1" applyAlignment="1">
      <alignment horizontal="left" vertical="center"/>
    </xf>
    <xf numFmtId="166" fontId="6" fillId="0" borderId="14" xfId="1" applyFont="1" applyBorder="1" applyAlignment="1">
      <alignment horizontal="center" vertical="center"/>
    </xf>
    <xf numFmtId="166" fontId="22" fillId="0" borderId="15" xfId="1" applyFont="1" applyBorder="1" applyAlignment="1">
      <alignment horizontal="center" vertical="center"/>
    </xf>
    <xf numFmtId="166" fontId="22" fillId="6" borderId="21" xfId="1" applyFont="1" applyFill="1" applyBorder="1" applyAlignment="1">
      <alignment vertical="center"/>
    </xf>
    <xf numFmtId="166" fontId="22" fillId="6" borderId="11" xfId="1" applyFont="1" applyFill="1" applyBorder="1" applyAlignment="1">
      <alignment wrapText="1"/>
    </xf>
    <xf numFmtId="166" fontId="22" fillId="6" borderId="12" xfId="1" applyFont="1" applyFill="1" applyBorder="1" applyAlignment="1">
      <alignment wrapText="1"/>
    </xf>
    <xf numFmtId="166" fontId="6" fillId="0" borderId="28" xfId="1" applyFont="1" applyBorder="1" applyAlignment="1">
      <alignment vertical="center"/>
    </xf>
    <xf numFmtId="166" fontId="6" fillId="0" borderId="29" xfId="1" applyFont="1" applyBorder="1" applyAlignment="1">
      <alignment vertical="center"/>
    </xf>
    <xf numFmtId="166" fontId="25" fillId="0" borderId="0" xfId="1" applyFont="1" applyAlignment="1">
      <alignment vertical="center"/>
    </xf>
    <xf numFmtId="166" fontId="32" fillId="0" borderId="0" xfId="1" applyFont="1"/>
    <xf numFmtId="49" fontId="38" fillId="0" borderId="0" xfId="1" applyNumberFormat="1" applyFont="1" applyAlignment="1">
      <alignment horizontal="left" wrapText="1"/>
    </xf>
    <xf numFmtId="166" fontId="25" fillId="0" borderId="13" xfId="1" applyFont="1" applyBorder="1" applyAlignment="1">
      <alignment horizontal="center"/>
    </xf>
    <xf numFmtId="166" fontId="39" fillId="0" borderId="6" xfId="1" applyFont="1" applyBorder="1" applyAlignment="1">
      <alignment horizontal="center" vertical="center" wrapText="1"/>
    </xf>
    <xf numFmtId="166" fontId="39" fillId="0" borderId="8" xfId="1" applyFont="1" applyBorder="1" applyAlignment="1">
      <alignment horizontal="center" vertical="center" wrapText="1"/>
    </xf>
    <xf numFmtId="166" fontId="40" fillId="4" borderId="21" xfId="1" applyFont="1" applyFill="1" applyBorder="1" applyAlignment="1">
      <alignment vertical="center"/>
    </xf>
    <xf numFmtId="166" fontId="40" fillId="4" borderId="9" xfId="1" applyFont="1" applyFill="1" applyBorder="1" applyAlignment="1">
      <alignment horizontal="left" wrapText="1"/>
    </xf>
    <xf numFmtId="166" fontId="30" fillId="4" borderId="17" xfId="1" applyFont="1" applyFill="1" applyBorder="1" applyAlignment="1">
      <alignment horizontal="center" vertical="center"/>
    </xf>
    <xf numFmtId="166" fontId="30" fillId="4" borderId="11" xfId="1" applyFont="1" applyFill="1" applyBorder="1" applyAlignment="1">
      <alignment horizontal="center" vertical="center"/>
    </xf>
    <xf numFmtId="0" fontId="41" fillId="0" borderId="0" xfId="0" applyFont="1" applyFill="1" applyBorder="1"/>
    <xf numFmtId="166" fontId="42" fillId="0" borderId="0" xfId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66" fontId="42" fillId="2" borderId="5" xfId="1" applyFont="1" applyFill="1" applyBorder="1" applyAlignment="1">
      <alignment horizontal="center" vertical="center"/>
    </xf>
    <xf numFmtId="166" fontId="42" fillId="0" borderId="3" xfId="1" applyFont="1" applyBorder="1" applyAlignment="1">
      <alignment horizontal="center" vertical="center"/>
    </xf>
    <xf numFmtId="166" fontId="42" fillId="0" borderId="5" xfId="1" applyFont="1" applyBorder="1" applyAlignment="1">
      <alignment horizontal="center" vertical="center"/>
    </xf>
    <xf numFmtId="166" fontId="24" fillId="6" borderId="11" xfId="1" applyFont="1" applyFill="1" applyBorder="1" applyAlignment="1">
      <alignment horizontal="center" vertical="center" wrapText="1"/>
    </xf>
    <xf numFmtId="166" fontId="42" fillId="0" borderId="29" xfId="1" applyFont="1" applyBorder="1" applyAlignment="1">
      <alignment horizontal="center" vertical="center"/>
    </xf>
    <xf numFmtId="166" fontId="45" fillId="0" borderId="0" xfId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6" fontId="39" fillId="0" borderId="17" xfId="1" applyFont="1" applyBorder="1" applyAlignment="1">
      <alignment horizontal="center" vertical="center" wrapText="1"/>
    </xf>
    <xf numFmtId="166" fontId="22" fillId="0" borderId="0" xfId="1" applyFont="1" applyBorder="1"/>
    <xf numFmtId="171" fontId="40" fillId="4" borderId="4" xfId="2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1" fontId="22" fillId="4" borderId="45" xfId="2" applyNumberFormat="1" applyFont="1" applyFill="1" applyBorder="1" applyAlignment="1">
      <alignment horizontal="center" vertical="center"/>
    </xf>
    <xf numFmtId="165" fontId="22" fillId="2" borderId="14" xfId="2" applyFont="1" applyFill="1" applyBorder="1" applyAlignment="1">
      <alignment vertical="center"/>
    </xf>
    <xf numFmtId="165" fontId="22" fillId="2" borderId="31" xfId="2" applyFont="1" applyFill="1" applyBorder="1" applyAlignment="1">
      <alignment vertical="center"/>
    </xf>
    <xf numFmtId="165" fontId="22" fillId="2" borderId="39" xfId="2" applyFont="1" applyFill="1" applyBorder="1" applyAlignment="1">
      <alignment horizontal="center" vertical="center"/>
    </xf>
    <xf numFmtId="171" fontId="22" fillId="4" borderId="4" xfId="2" applyNumberFormat="1" applyFont="1" applyFill="1" applyBorder="1" applyAlignment="1">
      <alignment horizontal="center" vertical="center"/>
    </xf>
    <xf numFmtId="165" fontId="22" fillId="2" borderId="44" xfId="2" applyFont="1" applyFill="1" applyBorder="1" applyAlignment="1">
      <alignment horizontal="center" vertical="center"/>
    </xf>
    <xf numFmtId="165" fontId="22" fillId="2" borderId="39" xfId="2" applyFont="1" applyFill="1" applyBorder="1" applyAlignment="1">
      <alignment horizontal="center" vertical="center"/>
    </xf>
    <xf numFmtId="166" fontId="6" fillId="0" borderId="39" xfId="1" applyFont="1" applyBorder="1" applyAlignment="1">
      <alignment horizontal="left" vertical="center"/>
    </xf>
    <xf numFmtId="166" fontId="6" fillId="0" borderId="24" xfId="1" applyFont="1" applyBorder="1" applyAlignment="1">
      <alignment horizontal="center" vertical="center"/>
    </xf>
    <xf numFmtId="166" fontId="6" fillId="0" borderId="44" xfId="1" applyFont="1" applyBorder="1" applyAlignment="1">
      <alignment horizontal="center" vertical="center"/>
    </xf>
    <xf numFmtId="166" fontId="6" fillId="0" borderId="31" xfId="1" applyFont="1" applyBorder="1" applyAlignment="1">
      <alignment horizontal="center" vertical="center"/>
    </xf>
    <xf numFmtId="166" fontId="6" fillId="0" borderId="39" xfId="1" applyFont="1" applyBorder="1" applyAlignment="1">
      <alignment horizontal="center" vertical="center"/>
    </xf>
    <xf numFmtId="171" fontId="6" fillId="6" borderId="4" xfId="1" applyNumberFormat="1" applyFont="1" applyFill="1" applyBorder="1"/>
    <xf numFmtId="166" fontId="8" fillId="0" borderId="24" xfId="1" applyFont="1" applyBorder="1" applyAlignment="1">
      <alignment wrapText="1"/>
    </xf>
    <xf numFmtId="166" fontId="8" fillId="0" borderId="14" xfId="1" applyFont="1" applyBorder="1" applyAlignment="1">
      <alignment wrapText="1"/>
    </xf>
    <xf numFmtId="166" fontId="8" fillId="0" borderId="0" xfId="1" applyFont="1" applyBorder="1" applyAlignment="1">
      <alignment wrapText="1"/>
    </xf>
    <xf numFmtId="166" fontId="47" fillId="8" borderId="41" xfId="1" applyFont="1" applyFill="1" applyBorder="1"/>
    <xf numFmtId="166" fontId="47" fillId="8" borderId="42" xfId="1" applyFont="1" applyFill="1" applyBorder="1"/>
    <xf numFmtId="166" fontId="47" fillId="8" borderId="41" xfId="1" applyFont="1" applyFill="1" applyBorder="1" applyAlignment="1">
      <alignment horizontal="center" vertical="center"/>
    </xf>
    <xf numFmtId="166" fontId="47" fillId="8" borderId="43" xfId="1" applyFont="1" applyFill="1" applyBorder="1"/>
    <xf numFmtId="170" fontId="47" fillId="8" borderId="42" xfId="1" applyNumberFormat="1" applyFont="1" applyFill="1" applyBorder="1" applyAlignment="1">
      <alignment horizontal="center"/>
    </xf>
    <xf numFmtId="170" fontId="47" fillId="8" borderId="43" xfId="1" applyNumberFormat="1" applyFont="1" applyFill="1" applyBorder="1" applyAlignment="1">
      <alignment horizontal="center"/>
    </xf>
    <xf numFmtId="0" fontId="48" fillId="0" borderId="0" xfId="0" applyFont="1" applyBorder="1"/>
    <xf numFmtId="0" fontId="48" fillId="0" borderId="0" xfId="0" applyFont="1"/>
    <xf numFmtId="166" fontId="24" fillId="0" borderId="7" xfId="1" applyFont="1" applyBorder="1" applyAlignment="1">
      <alignment horizontal="center" vertical="center" wrapText="1"/>
    </xf>
    <xf numFmtId="166" fontId="39" fillId="0" borderId="8" xfId="1" applyFont="1" applyBorder="1" applyAlignment="1">
      <alignment vertical="center"/>
    </xf>
    <xf numFmtId="166" fontId="22" fillId="0" borderId="6" xfId="1" applyFont="1" applyBorder="1" applyAlignment="1">
      <alignment horizontal="left" wrapText="1"/>
    </xf>
    <xf numFmtId="166" fontId="22" fillId="0" borderId="6" xfId="1" applyFont="1" applyBorder="1" applyAlignment="1">
      <alignment vertical="center" wrapText="1"/>
    </xf>
    <xf numFmtId="166" fontId="6" fillId="0" borderId="6" xfId="1" applyFont="1" applyBorder="1" applyAlignment="1">
      <alignment horizontal="center" vertical="center"/>
    </xf>
    <xf numFmtId="166" fontId="6" fillId="0" borderId="6" xfId="1" applyFont="1" applyBorder="1" applyAlignment="1">
      <alignment horizontal="center"/>
    </xf>
    <xf numFmtId="166" fontId="6" fillId="0" borderId="6" xfId="1" applyFont="1" applyBorder="1"/>
    <xf numFmtId="166" fontId="22" fillId="0" borderId="7" xfId="1" applyFont="1" applyBorder="1"/>
    <xf numFmtId="166" fontId="6" fillId="0" borderId="40" xfId="1" applyFont="1" applyBorder="1" applyAlignment="1">
      <alignment horizontal="left" vertical="center"/>
    </xf>
    <xf numFmtId="0" fontId="6" fillId="0" borderId="5" xfId="1" applyNumberFormat="1" applyFont="1" applyBorder="1" applyAlignment="1">
      <alignment vertical="center" wrapText="1" shrinkToFit="1"/>
    </xf>
    <xf numFmtId="166" fontId="6" fillId="7" borderId="5" xfId="1" applyFont="1" applyFill="1" applyBorder="1" applyAlignment="1">
      <alignment horizontal="center" vertical="center"/>
    </xf>
    <xf numFmtId="165" fontId="22" fillId="0" borderId="46" xfId="2" applyFont="1" applyBorder="1"/>
    <xf numFmtId="166" fontId="22" fillId="0" borderId="8" xfId="1" applyFont="1" applyBorder="1" applyAlignment="1">
      <alignment horizontal="left" vertical="center"/>
    </xf>
    <xf numFmtId="166" fontId="22" fillId="0" borderId="4" xfId="1" applyFont="1" applyBorder="1" applyAlignment="1">
      <alignment vertical="center"/>
    </xf>
    <xf numFmtId="166" fontId="22" fillId="0" borderId="9" xfId="1" applyFont="1" applyBorder="1" applyAlignment="1">
      <alignment wrapText="1"/>
    </xf>
    <xf numFmtId="166" fontId="22" fillId="0" borderId="9" xfId="1" applyFont="1" applyBorder="1" applyAlignment="1">
      <alignment vertical="center" wrapText="1"/>
    </xf>
    <xf numFmtId="165" fontId="6" fillId="0" borderId="6" xfId="2" applyFont="1" applyBorder="1"/>
    <xf numFmtId="165" fontId="6" fillId="0" borderId="7" xfId="2" applyFont="1" applyBorder="1"/>
    <xf numFmtId="166" fontId="6" fillId="0" borderId="40" xfId="1" applyFont="1" applyBorder="1" applyAlignment="1">
      <alignment vertical="center"/>
    </xf>
    <xf numFmtId="165" fontId="22" fillId="0" borderId="47" xfId="2" applyFont="1" applyBorder="1"/>
    <xf numFmtId="165" fontId="22" fillId="0" borderId="47" xfId="2" applyFont="1" applyBorder="1" applyAlignment="1">
      <alignment vertical="center"/>
    </xf>
    <xf numFmtId="166" fontId="6" fillId="0" borderId="0" xfId="1" applyFont="1" applyAlignment="1">
      <alignment wrapText="1"/>
    </xf>
    <xf numFmtId="165" fontId="6" fillId="0" borderId="0" xfId="2" applyFont="1"/>
    <xf numFmtId="166" fontId="6" fillId="0" borderId="2" xfId="1" applyFont="1" applyBorder="1"/>
    <xf numFmtId="166" fontId="8" fillId="0" borderId="2" xfId="1" applyFont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165" fontId="6" fillId="2" borderId="0" xfId="2" applyFont="1" applyFill="1"/>
    <xf numFmtId="166" fontId="22" fillId="0" borderId="11" xfId="1" applyFont="1" applyBorder="1" applyAlignment="1">
      <alignment wrapText="1"/>
    </xf>
    <xf numFmtId="166" fontId="22" fillId="0" borderId="11" xfId="1" applyFont="1" applyBorder="1" applyAlignment="1">
      <alignment vertical="center" wrapText="1"/>
    </xf>
    <xf numFmtId="166" fontId="6" fillId="0" borderId="11" xfId="1" applyFont="1" applyBorder="1" applyAlignment="1">
      <alignment horizontal="center" vertical="center"/>
    </xf>
    <xf numFmtId="165" fontId="6" fillId="0" borderId="9" xfId="2" applyFont="1" applyBorder="1"/>
    <xf numFmtId="165" fontId="6" fillId="2" borderId="6" xfId="2" applyFont="1" applyFill="1" applyBorder="1"/>
    <xf numFmtId="166" fontId="22" fillId="0" borderId="1" xfId="1" applyFont="1" applyBorder="1" applyAlignment="1">
      <alignment vertical="center"/>
    </xf>
    <xf numFmtId="166" fontId="22" fillId="0" borderId="0" xfId="1" applyFont="1" applyAlignment="1">
      <alignment wrapText="1"/>
    </xf>
    <xf numFmtId="166" fontId="22" fillId="0" borderId="0" xfId="1" applyFont="1" applyAlignment="1">
      <alignment vertical="center" wrapText="1"/>
    </xf>
    <xf numFmtId="166" fontId="6" fillId="0" borderId="4" xfId="1" applyFont="1" applyBorder="1" applyAlignment="1">
      <alignment vertical="center"/>
    </xf>
    <xf numFmtId="166" fontId="22" fillId="0" borderId="11" xfId="1" applyFont="1" applyBorder="1" applyAlignment="1">
      <alignment horizontal="left" wrapText="1"/>
    </xf>
    <xf numFmtId="166" fontId="31" fillId="0" borderId="11" xfId="1" applyFont="1" applyBorder="1" applyAlignment="1">
      <alignment vertical="center" wrapText="1"/>
    </xf>
    <xf numFmtId="166" fontId="6" fillId="0" borderId="12" xfId="26" applyFont="1" applyBorder="1"/>
    <xf numFmtId="9" fontId="13" fillId="0" borderId="5" xfId="25" applyFont="1" applyBorder="1" applyAlignment="1">
      <alignment horizontal="right" vertical="center" wrapText="1"/>
    </xf>
    <xf numFmtId="168" fontId="12" fillId="0" borderId="5" xfId="0" applyNumberFormat="1" applyFont="1" applyBorder="1"/>
    <xf numFmtId="0" fontId="12" fillId="0" borderId="46" xfId="0" applyFont="1" applyBorder="1"/>
    <xf numFmtId="43" fontId="12" fillId="0" borderId="46" xfId="0" applyNumberFormat="1" applyFont="1" applyBorder="1"/>
    <xf numFmtId="166" fontId="6" fillId="0" borderId="48" xfId="1" applyFont="1" applyBorder="1" applyAlignment="1">
      <alignment vertical="center"/>
    </xf>
    <xf numFmtId="9" fontId="13" fillId="0" borderId="3" xfId="25" applyFont="1" applyBorder="1" applyAlignment="1">
      <alignment horizontal="right" vertical="center" wrapText="1"/>
    </xf>
    <xf numFmtId="168" fontId="12" fillId="0" borderId="3" xfId="0" applyNumberFormat="1" applyFont="1" applyBorder="1"/>
    <xf numFmtId="0" fontId="12" fillId="0" borderId="47" xfId="0" applyFont="1" applyBorder="1"/>
    <xf numFmtId="43" fontId="12" fillId="0" borderId="47" xfId="0" applyNumberFormat="1" applyFont="1" applyBorder="1"/>
    <xf numFmtId="166" fontId="6" fillId="0" borderId="49" xfId="1" applyFont="1" applyBorder="1" applyAlignment="1">
      <alignment vertical="center"/>
    </xf>
    <xf numFmtId="9" fontId="13" fillId="0" borderId="27" xfId="25" applyFont="1" applyBorder="1" applyAlignment="1">
      <alignment horizontal="right" vertical="center" wrapText="1"/>
    </xf>
    <xf numFmtId="165" fontId="6" fillId="0" borderId="50" xfId="2" applyFont="1" applyBorder="1"/>
    <xf numFmtId="170" fontId="22" fillId="0" borderId="12" xfId="26" applyNumberFormat="1" applyFont="1" applyBorder="1"/>
    <xf numFmtId="166" fontId="51" fillId="0" borderId="0" xfId="1" applyFont="1"/>
    <xf numFmtId="166" fontId="51" fillId="0" borderId="13" xfId="1" applyFont="1" applyBorder="1" applyAlignment="1">
      <alignment horizontal="left" wrapText="1"/>
    </xf>
    <xf numFmtId="166" fontId="51" fillId="0" borderId="0" xfId="1" applyFont="1" applyAlignment="1">
      <alignment vertical="center" wrapText="1"/>
    </xf>
    <xf numFmtId="166" fontId="51" fillId="0" borderId="0" xfId="1" applyFont="1" applyAlignment="1">
      <alignment horizontal="center" vertical="center"/>
    </xf>
    <xf numFmtId="166" fontId="51" fillId="0" borderId="13" xfId="1" applyFont="1" applyBorder="1" applyAlignment="1">
      <alignment horizontal="center" vertical="center"/>
    </xf>
    <xf numFmtId="166" fontId="52" fillId="0" borderId="0" xfId="1" applyFont="1"/>
    <xf numFmtId="166" fontId="51" fillId="0" borderId="0" xfId="1" applyFont="1" applyAlignment="1">
      <alignment vertical="center"/>
    </xf>
    <xf numFmtId="166" fontId="51" fillId="0" borderId="0" xfId="1" applyFont="1" applyAlignment="1">
      <alignment horizontal="center" vertical="center" wrapText="1"/>
    </xf>
    <xf numFmtId="166" fontId="51" fillId="0" borderId="15" xfId="1" applyFont="1" applyBorder="1" applyAlignment="1">
      <alignment horizontal="center" vertical="center"/>
    </xf>
    <xf numFmtId="166" fontId="52" fillId="0" borderId="0" xfId="1" applyFont="1" applyAlignment="1">
      <alignment vertical="center"/>
    </xf>
    <xf numFmtId="166" fontId="6" fillId="0" borderId="40" xfId="1" applyFont="1" applyFill="1" applyBorder="1" applyAlignment="1">
      <alignment vertical="center"/>
    </xf>
    <xf numFmtId="166" fontId="6" fillId="0" borderId="5" xfId="1" applyFont="1" applyFill="1" applyBorder="1" applyAlignment="1">
      <alignment horizontal="center" vertical="center" wrapText="1"/>
    </xf>
    <xf numFmtId="166" fontId="6" fillId="0" borderId="5" xfId="1" applyFont="1" applyFill="1" applyBorder="1" applyAlignment="1">
      <alignment horizontal="left" vertical="center"/>
    </xf>
    <xf numFmtId="165" fontId="6" fillId="0" borderId="5" xfId="2" applyFont="1" applyFill="1" applyBorder="1" applyAlignment="1">
      <alignment horizontal="left" vertical="center"/>
    </xf>
    <xf numFmtId="166" fontId="8" fillId="0" borderId="2" xfId="1" applyFont="1" applyFill="1" applyBorder="1" applyAlignment="1">
      <alignment vertical="center"/>
    </xf>
    <xf numFmtId="166" fontId="8" fillId="0" borderId="0" xfId="1" applyFont="1" applyFill="1" applyAlignment="1">
      <alignment vertical="center"/>
    </xf>
    <xf numFmtId="166" fontId="25" fillId="0" borderId="0" xfId="1" applyFont="1" applyFill="1"/>
  </cellXfs>
  <cellStyles count="27">
    <cellStyle name="Comma [0] 2" xfId="6" xr:uid="{00000000-0005-0000-0000-000000000000}"/>
    <cellStyle name="Comma [0] 3" xfId="21" xr:uid="{00000000-0005-0000-0000-000001000000}"/>
    <cellStyle name="Comma 10" xfId="15" xr:uid="{00000000-0005-0000-0000-000002000000}"/>
    <cellStyle name="Comma 11" xfId="16" xr:uid="{00000000-0005-0000-0000-000003000000}"/>
    <cellStyle name="Comma 12" xfId="18" xr:uid="{00000000-0005-0000-0000-000004000000}"/>
    <cellStyle name="Comma 13" xfId="20" xr:uid="{00000000-0005-0000-0000-000005000000}"/>
    <cellStyle name="Comma 14" xfId="24" xr:uid="{00000000-0005-0000-0000-000006000000}"/>
    <cellStyle name="Comma 15" xfId="26" xr:uid="{00000000-0005-0000-0000-000007000000}"/>
    <cellStyle name="Comma 2" xfId="5" xr:uid="{00000000-0005-0000-0000-000008000000}"/>
    <cellStyle name="Comma 3" xfId="9" xr:uid="{00000000-0005-0000-0000-000009000000}"/>
    <cellStyle name="Comma 4" xfId="11" xr:uid="{00000000-0005-0000-0000-00000A000000}"/>
    <cellStyle name="Comma 5" xfId="10" xr:uid="{00000000-0005-0000-0000-00000B000000}"/>
    <cellStyle name="Comma 6" xfId="12" xr:uid="{00000000-0005-0000-0000-00000C000000}"/>
    <cellStyle name="Comma 7" xfId="13" xr:uid="{00000000-0005-0000-0000-00000D000000}"/>
    <cellStyle name="Comma 8" xfId="14" xr:uid="{00000000-0005-0000-0000-00000E000000}"/>
    <cellStyle name="Comma 9" xfId="17" xr:uid="{00000000-0005-0000-0000-00000F000000}"/>
    <cellStyle name="Comma_Sheet1" xfId="3" xr:uid="{00000000-0005-0000-0000-000010000000}"/>
    <cellStyle name="Millares" xfId="1" builtinId="3"/>
    <cellStyle name="Moneda" xfId="2" builtinId="4"/>
    <cellStyle name="Normal" xfId="0" builtinId="0"/>
    <cellStyle name="Normal 2" xfId="4" xr:uid="{00000000-0005-0000-0000-000014000000}"/>
    <cellStyle name="Normal 3" xfId="19" xr:uid="{00000000-0005-0000-0000-000015000000}"/>
    <cellStyle name="Percent 2" xfId="7" xr:uid="{00000000-0005-0000-0000-000016000000}"/>
    <cellStyle name="Percent 3" xfId="22" xr:uid="{00000000-0005-0000-0000-000017000000}"/>
    <cellStyle name="Porcentaje" xfId="25" builtinId="5"/>
    <cellStyle name="Währung" xfId="8" xr:uid="{00000000-0005-0000-0000-000019000000}"/>
    <cellStyle name="Währung 2" xfId="23" xr:uid="{00000000-0005-0000-0000-00001A000000}"/>
  </cellStyles>
  <dxfs count="0"/>
  <tableStyles count="0" defaultTableStyle="TableStyleMedium2" defaultPivotStyle="PivotStyleLight16"/>
  <colors>
    <mruColors>
      <color rgb="FFD2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206374</xdr:rowOff>
    </xdr:from>
    <xdr:to>
      <xdr:col>1</xdr:col>
      <xdr:colOff>1285875</xdr:colOff>
      <xdr:row>3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E7952C-C400-4004-ACF1-04605631EC1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6" y="206374"/>
          <a:ext cx="1329689" cy="96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0</xdr:row>
      <xdr:rowOff>253999</xdr:rowOff>
    </xdr:from>
    <xdr:to>
      <xdr:col>1</xdr:col>
      <xdr:colOff>1333500</xdr:colOff>
      <xdr:row>5</xdr:row>
      <xdr:rowOff>10159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6B3AA8-5075-4650-8AA7-A2609415658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253999"/>
          <a:ext cx="1470024" cy="1343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0</xdr:row>
      <xdr:rowOff>253999</xdr:rowOff>
    </xdr:from>
    <xdr:to>
      <xdr:col>1</xdr:col>
      <xdr:colOff>1092835</xdr:colOff>
      <xdr:row>5</xdr:row>
      <xdr:rowOff>10159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BA9B86-225D-4A37-B7ED-CE823B2856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253999"/>
          <a:ext cx="155193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240031</xdr:colOff>
      <xdr:row>0</xdr:row>
      <xdr:rowOff>261621</xdr:rowOff>
    </xdr:from>
    <xdr:to>
      <xdr:col>1</xdr:col>
      <xdr:colOff>467360</xdr:colOff>
      <xdr:row>3</xdr:row>
      <xdr:rowOff>299720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949AA2B-E788-44F7-A25B-643B1DA8E38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1" y="261621"/>
          <a:ext cx="1230629" cy="1015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0</xdr:row>
      <xdr:rowOff>253999</xdr:rowOff>
    </xdr:from>
    <xdr:to>
      <xdr:col>1</xdr:col>
      <xdr:colOff>609782</xdr:colOff>
      <xdr:row>5</xdr:row>
      <xdr:rowOff>10159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7EB99-F17F-4FB4-906D-90B7A7D8D1D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253999"/>
          <a:ext cx="1556566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638176</xdr:colOff>
      <xdr:row>0</xdr:row>
      <xdr:rowOff>253999</xdr:rowOff>
    </xdr:from>
    <xdr:to>
      <xdr:col>1</xdr:col>
      <xdr:colOff>943157</xdr:colOff>
      <xdr:row>5</xdr:row>
      <xdr:rowOff>10159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B998F-B7AD-4A90-BD49-3AEEB550582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253999"/>
          <a:ext cx="1547041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695324</xdr:colOff>
      <xdr:row>0</xdr:row>
      <xdr:rowOff>234949</xdr:rowOff>
    </xdr:from>
    <xdr:to>
      <xdr:col>1</xdr:col>
      <xdr:colOff>899159</xdr:colOff>
      <xdr:row>4</xdr:row>
      <xdr:rowOff>252094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358452-365A-4B43-9581-17CBAF9C999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4" y="234949"/>
          <a:ext cx="1377315" cy="1297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733426</xdr:colOff>
      <xdr:row>0</xdr:row>
      <xdr:rowOff>206374</xdr:rowOff>
    </xdr:from>
    <xdr:to>
      <xdr:col>1</xdr:col>
      <xdr:colOff>1285875</xdr:colOff>
      <xdr:row>3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6" y="206374"/>
          <a:ext cx="1298574" cy="984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.Ing.perez/Documents/2019/PRESUPUESTO%202019/PRESUPUESTOS%20LICITACION/listo/DISTRITO/Capacitacion,%20Ni&#241;o%20y%20Ni&#241;as%20y%20Adolescentes%20Huerfanos%20Bloque%20D/Copia%20de%20VOLUMETRIA%20CAPACITACION%20EN%20BLOQUE%20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tria"/>
      <sheetName val="Presupuesto"/>
      <sheetName val="DATA"/>
      <sheetName val="Hoja1"/>
    </sheetNames>
    <sheetDataSet>
      <sheetData sheetId="0"/>
      <sheetData sheetId="1"/>
      <sheetData sheetId="2"/>
      <sheetData sheetId="3">
        <row r="4">
          <cell r="A4">
            <v>166.04359999999997</v>
          </cell>
        </row>
        <row r="8">
          <cell r="A8">
            <v>203.5</v>
          </cell>
        </row>
        <row r="13">
          <cell r="C13">
            <v>162.07599999999996</v>
          </cell>
        </row>
        <row r="16">
          <cell r="D16">
            <v>312</v>
          </cell>
        </row>
        <row r="19">
          <cell r="F19">
            <v>424.86140000000006</v>
          </cell>
        </row>
        <row r="25">
          <cell r="A25">
            <v>119.20000000000002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066D-38E3-4CB0-80A0-2959105C0D40}">
  <sheetPr>
    <pageSetUpPr fitToPage="1"/>
  </sheetPr>
  <dimension ref="A1:N67"/>
  <sheetViews>
    <sheetView topLeftCell="A16" zoomScale="60" zoomScaleNormal="60" workbookViewId="0">
      <selection activeCell="A20" sqref="A20:H20"/>
    </sheetView>
  </sheetViews>
  <sheetFormatPr baseColWidth="10" defaultColWidth="9.109375" defaultRowHeight="13.8" x14ac:dyDescent="0.25"/>
  <cols>
    <col min="1" max="1" width="11.33203125" style="10" customWidth="1"/>
    <col min="2" max="2" width="89.33203125" style="13" customWidth="1"/>
    <col min="3" max="3" width="25.109375" style="14" hidden="1" customWidth="1"/>
    <col min="4" max="4" width="15.109375" style="15" bestFit="1" customWidth="1"/>
    <col min="5" max="5" width="11" style="15" bestFit="1" customWidth="1"/>
    <col min="6" max="6" width="22.33203125" style="16" bestFit="1" customWidth="1"/>
    <col min="7" max="7" width="22.88671875" style="1" customWidth="1"/>
    <col min="8" max="8" width="28.6640625" style="17" bestFit="1" customWidth="1"/>
    <col min="9" max="9" width="11.5546875" style="1" bestFit="1" customWidth="1"/>
    <col min="10" max="10" width="8.6640625" style="1" customWidth="1"/>
    <col min="11" max="11" width="0.88671875" style="1" hidden="1" customWidth="1"/>
    <col min="12" max="12" width="20.44140625" style="1" hidden="1" customWidth="1"/>
    <col min="13" max="13" width="18.6640625" style="1" hidden="1" customWidth="1"/>
    <col min="14" max="14" width="36.109375" style="1" hidden="1" customWidth="1"/>
    <col min="15" max="16384" width="9.109375" style="1"/>
  </cols>
  <sheetData>
    <row r="1" spans="1:14" ht="25.2" x14ac:dyDescent="0.45">
      <c r="A1" s="9"/>
      <c r="B1" s="2"/>
      <c r="C1" s="3"/>
      <c r="D1" s="4"/>
      <c r="E1" s="4"/>
      <c r="F1" s="5"/>
      <c r="G1" s="6"/>
      <c r="H1" s="12"/>
    </row>
    <row r="2" spans="1:14" s="31" customFormat="1" ht="24.75" customHeight="1" x14ac:dyDescent="0.5">
      <c r="A2" s="124" t="s">
        <v>34</v>
      </c>
      <c r="B2" s="124"/>
      <c r="C2" s="124"/>
      <c r="D2" s="124"/>
      <c r="E2" s="124"/>
      <c r="F2" s="124"/>
      <c r="G2" s="124"/>
      <c r="H2" s="124"/>
    </row>
    <row r="3" spans="1:14" s="31" customFormat="1" ht="24.75" customHeight="1" x14ac:dyDescent="0.5">
      <c r="A3" s="124" t="s">
        <v>35</v>
      </c>
      <c r="B3" s="124"/>
      <c r="C3" s="124"/>
      <c r="D3" s="124"/>
      <c r="E3" s="124"/>
      <c r="F3" s="124"/>
      <c r="G3" s="124"/>
      <c r="H3" s="124"/>
    </row>
    <row r="4" spans="1:14" s="31" customFormat="1" ht="24.75" customHeight="1" x14ac:dyDescent="0.5">
      <c r="A4" s="124" t="s">
        <v>36</v>
      </c>
      <c r="B4" s="124"/>
      <c r="C4" s="124"/>
      <c r="D4" s="124"/>
      <c r="E4" s="124"/>
      <c r="F4" s="124"/>
      <c r="G4" s="124"/>
      <c r="H4" s="124"/>
    </row>
    <row r="5" spans="1:14" s="31" customFormat="1" ht="58.5" customHeight="1" x14ac:dyDescent="0.3">
      <c r="B5" s="125" t="s">
        <v>55</v>
      </c>
      <c r="C5" s="125"/>
      <c r="D5" s="125"/>
      <c r="E5" s="125"/>
      <c r="F5" s="125"/>
      <c r="G5" s="125"/>
      <c r="H5" s="125"/>
    </row>
    <row r="6" spans="1:14" s="25" customFormat="1" ht="6" customHeight="1" x14ac:dyDescent="0.5">
      <c r="A6" s="32"/>
      <c r="B6" s="33"/>
      <c r="C6" s="34"/>
      <c r="D6" s="34"/>
      <c r="E6" s="34"/>
      <c r="F6" s="35"/>
      <c r="G6" s="36"/>
      <c r="H6" s="35"/>
    </row>
    <row r="7" spans="1:14" s="25" customFormat="1" ht="26.25" customHeight="1" x14ac:dyDescent="0.3">
      <c r="A7" s="126" t="s">
        <v>37</v>
      </c>
      <c r="B7" s="126"/>
      <c r="C7" s="126"/>
      <c r="D7" s="126"/>
      <c r="E7" s="126"/>
      <c r="F7" s="126"/>
      <c r="G7" s="126"/>
      <c r="H7" s="126"/>
    </row>
    <row r="8" spans="1:14" ht="8.25" customHeight="1" thickBot="1" x14ac:dyDescent="0.5">
      <c r="A8" s="9"/>
      <c r="B8" s="2"/>
      <c r="C8" s="3"/>
      <c r="D8" s="4"/>
      <c r="E8" s="4"/>
      <c r="F8" s="5"/>
      <c r="G8" s="6"/>
      <c r="H8" s="12"/>
    </row>
    <row r="9" spans="1:14" ht="36" customHeight="1" thickBot="1" x14ac:dyDescent="0.3">
      <c r="A9" s="26" t="s">
        <v>0</v>
      </c>
      <c r="B9" s="27" t="s">
        <v>6</v>
      </c>
      <c r="C9" s="28" t="s">
        <v>22</v>
      </c>
      <c r="D9" s="29" t="s">
        <v>21</v>
      </c>
      <c r="E9" s="29" t="s">
        <v>1</v>
      </c>
      <c r="F9" s="29" t="s">
        <v>2</v>
      </c>
      <c r="G9" s="29" t="s">
        <v>3</v>
      </c>
      <c r="H9" s="30" t="s">
        <v>4</v>
      </c>
      <c r="L9" s="1" t="s">
        <v>7</v>
      </c>
      <c r="M9" s="1" t="s">
        <v>8</v>
      </c>
      <c r="N9" s="1" t="s">
        <v>9</v>
      </c>
    </row>
    <row r="10" spans="1:14" ht="8.25" customHeight="1" thickBot="1" x14ac:dyDescent="0.5">
      <c r="A10" s="38"/>
      <c r="B10" s="2"/>
      <c r="C10" s="3"/>
      <c r="D10" s="4"/>
      <c r="E10" s="4"/>
      <c r="F10" s="5"/>
      <c r="G10" s="6"/>
      <c r="H10" s="7"/>
      <c r="K10" s="1" t="s">
        <v>10</v>
      </c>
      <c r="L10" s="1">
        <f>39600+29750+38700+28500+45900+32300+96000+35000</f>
        <v>345750</v>
      </c>
      <c r="M10" s="1">
        <v>300000</v>
      </c>
      <c r="N10" s="1">
        <v>368000</v>
      </c>
    </row>
    <row r="11" spans="1:14" ht="25.8" thickBot="1" x14ac:dyDescent="0.45">
      <c r="A11" s="59">
        <v>1</v>
      </c>
      <c r="B11" s="58" t="s">
        <v>13</v>
      </c>
      <c r="C11" s="49"/>
      <c r="D11" s="106"/>
      <c r="E11" s="107"/>
      <c r="F11" s="107"/>
      <c r="G11" s="107"/>
      <c r="H11" s="69">
        <f>SUM(G12:G15)</f>
        <v>0</v>
      </c>
      <c r="K11" s="1" t="s">
        <v>11</v>
      </c>
      <c r="L11" s="1">
        <f>62100+5520+11675+3500</f>
        <v>82795</v>
      </c>
      <c r="N11" s="1">
        <f>116000</f>
        <v>116000</v>
      </c>
    </row>
    <row r="12" spans="1:14" ht="34.5" customHeight="1" x14ac:dyDescent="0.25">
      <c r="A12" s="74">
        <f t="shared" ref="A12:A15" si="0">+A11+0.01</f>
        <v>1.01</v>
      </c>
      <c r="B12" s="72" t="s">
        <v>15</v>
      </c>
      <c r="C12" s="39"/>
      <c r="D12" s="77">
        <v>15.44</v>
      </c>
      <c r="E12" s="41" t="s">
        <v>39</v>
      </c>
      <c r="F12" s="42"/>
      <c r="G12" s="47">
        <f t="shared" ref="G12:G15" si="1">D12*F12</f>
        <v>0</v>
      </c>
      <c r="H12" s="117"/>
    </row>
    <row r="13" spans="1:14" ht="50.4" x14ac:dyDescent="0.25">
      <c r="A13" s="74">
        <f t="shared" si="0"/>
        <v>1.02</v>
      </c>
      <c r="B13" s="72" t="s">
        <v>45</v>
      </c>
      <c r="C13" s="39"/>
      <c r="D13" s="77">
        <v>4</v>
      </c>
      <c r="E13" s="41" t="s">
        <v>12</v>
      </c>
      <c r="F13" s="42"/>
      <c r="G13" s="47">
        <f t="shared" si="1"/>
        <v>0</v>
      </c>
      <c r="H13" s="117"/>
    </row>
    <row r="14" spans="1:14" ht="25.2" x14ac:dyDescent="0.25">
      <c r="A14" s="74">
        <f t="shared" si="0"/>
        <v>1.03</v>
      </c>
      <c r="B14" s="72" t="s">
        <v>46</v>
      </c>
      <c r="C14" s="39"/>
      <c r="D14" s="77">
        <v>4</v>
      </c>
      <c r="E14" s="41" t="s">
        <v>12</v>
      </c>
      <c r="F14" s="42"/>
      <c r="G14" s="47">
        <f t="shared" si="1"/>
        <v>0</v>
      </c>
      <c r="H14" s="117"/>
    </row>
    <row r="15" spans="1:14" ht="32.25" customHeight="1" x14ac:dyDescent="0.25">
      <c r="A15" s="74">
        <f t="shared" si="0"/>
        <v>1.04</v>
      </c>
      <c r="B15" s="73" t="s">
        <v>14</v>
      </c>
      <c r="C15" s="40"/>
      <c r="D15" s="82">
        <v>1</v>
      </c>
      <c r="E15" s="42" t="s">
        <v>42</v>
      </c>
      <c r="F15" s="42"/>
      <c r="G15" s="47">
        <f t="shared" si="1"/>
        <v>0</v>
      </c>
      <c r="H15" s="118"/>
    </row>
    <row r="16" spans="1:14" ht="4.5" customHeight="1" thickBot="1" x14ac:dyDescent="0.3">
      <c r="A16" s="101"/>
      <c r="B16" s="101"/>
      <c r="C16" s="101"/>
      <c r="D16" s="101"/>
      <c r="E16" s="101"/>
      <c r="F16" s="101"/>
      <c r="G16" s="101"/>
      <c r="H16" s="119"/>
    </row>
    <row r="17" spans="1:8" ht="25.8" thickBot="1" x14ac:dyDescent="0.3">
      <c r="A17" s="51">
        <v>2</v>
      </c>
      <c r="B17" s="57" t="s">
        <v>38</v>
      </c>
      <c r="C17" s="50"/>
      <c r="D17" s="106"/>
      <c r="E17" s="107"/>
      <c r="F17" s="107"/>
      <c r="G17" s="107"/>
      <c r="H17" s="69">
        <f>SUM(G18:G19)</f>
        <v>0</v>
      </c>
    </row>
    <row r="18" spans="1:8" s="79" customFormat="1" ht="49.5" customHeight="1" x14ac:dyDescent="0.25">
      <c r="A18" s="74">
        <f t="shared" ref="A18:A19" si="2">+A17+0.01</f>
        <v>2.0099999999999998</v>
      </c>
      <c r="B18" s="75" t="s">
        <v>49</v>
      </c>
      <c r="C18" s="76">
        <f>+(5.54+0.8+4.09-0.3+2.93+3.05+3.05+4.09+3.05)*2.5</f>
        <v>65.75</v>
      </c>
      <c r="D18" s="77">
        <v>88.92</v>
      </c>
      <c r="E18" s="77" t="s">
        <v>39</v>
      </c>
      <c r="F18" s="77"/>
      <c r="G18" s="78">
        <f t="shared" ref="G18:G19" si="3">D18*F18</f>
        <v>0</v>
      </c>
      <c r="H18" s="120"/>
    </row>
    <row r="19" spans="1:8" s="79" customFormat="1" ht="66.75" customHeight="1" x14ac:dyDescent="0.25">
      <c r="A19" s="74">
        <f t="shared" si="2"/>
        <v>2.0199999999999996</v>
      </c>
      <c r="B19" s="75" t="s">
        <v>54</v>
      </c>
      <c r="C19" s="76">
        <f>+(5.54+0.8+4.09-0.3+2.93+3.05+3.05+4.09+3.05)*2.5</f>
        <v>65.75</v>
      </c>
      <c r="D19" s="77">
        <v>1</v>
      </c>
      <c r="E19" s="77" t="s">
        <v>42</v>
      </c>
      <c r="F19" s="77"/>
      <c r="G19" s="78">
        <f t="shared" si="3"/>
        <v>0</v>
      </c>
      <c r="H19" s="121"/>
    </row>
    <row r="20" spans="1:8" ht="6.75" customHeight="1" thickBot="1" x14ac:dyDescent="0.3">
      <c r="A20" s="122"/>
      <c r="B20" s="110"/>
      <c r="C20" s="110"/>
      <c r="D20" s="110"/>
      <c r="E20" s="110"/>
      <c r="F20" s="110"/>
      <c r="G20" s="110"/>
      <c r="H20" s="123"/>
    </row>
    <row r="21" spans="1:8" ht="25.8" thickBot="1" x14ac:dyDescent="0.3">
      <c r="A21" s="51">
        <v>3</v>
      </c>
      <c r="B21" s="57" t="s">
        <v>40</v>
      </c>
      <c r="C21" s="50"/>
      <c r="D21" s="106"/>
      <c r="E21" s="107"/>
      <c r="F21" s="107"/>
      <c r="G21" s="107"/>
      <c r="H21" s="69">
        <f>SUM(G22)</f>
        <v>0</v>
      </c>
    </row>
    <row r="22" spans="1:8" s="79" customFormat="1" ht="50.4" x14ac:dyDescent="0.25">
      <c r="A22" s="74">
        <f t="shared" ref="A22" si="4">+A21+0.01</f>
        <v>3.01</v>
      </c>
      <c r="B22" s="80" t="s">
        <v>48</v>
      </c>
      <c r="C22" s="81" t="s">
        <v>19</v>
      </c>
      <c r="D22" s="77">
        <v>32</v>
      </c>
      <c r="E22" s="77" t="s">
        <v>18</v>
      </c>
      <c r="F22" s="82"/>
      <c r="G22" s="78">
        <f t="shared" ref="G22" si="5">D22*F22</f>
        <v>0</v>
      </c>
      <c r="H22" s="97"/>
    </row>
    <row r="23" spans="1:8" s="11" customFormat="1" ht="8.25" customHeight="1" thickBot="1" x14ac:dyDescent="0.3">
      <c r="A23" s="110"/>
      <c r="B23" s="110"/>
      <c r="C23" s="110"/>
      <c r="D23" s="110"/>
      <c r="E23" s="110"/>
      <c r="F23" s="110"/>
      <c r="G23" s="110"/>
      <c r="H23" s="110"/>
    </row>
    <row r="24" spans="1:8" ht="25.8" thickBot="1" x14ac:dyDescent="0.3">
      <c r="A24" s="59">
        <f>+A21+1</f>
        <v>4</v>
      </c>
      <c r="B24" s="57" t="s">
        <v>41</v>
      </c>
      <c r="C24" s="50"/>
      <c r="D24" s="106"/>
      <c r="E24" s="107"/>
      <c r="F24" s="107"/>
      <c r="G24" s="107"/>
      <c r="H24" s="69">
        <f>SUM(G25:G25)</f>
        <v>0</v>
      </c>
    </row>
    <row r="25" spans="1:8" s="86" customFormat="1" ht="50.4" x14ac:dyDescent="0.3">
      <c r="A25" s="74">
        <f>+A24+0.01</f>
        <v>4.01</v>
      </c>
      <c r="B25" s="84" t="s">
        <v>53</v>
      </c>
      <c r="C25" s="85" t="e">
        <f>+#REF!*2.42*1.05</f>
        <v>#REF!</v>
      </c>
      <c r="D25" s="77">
        <v>1</v>
      </c>
      <c r="E25" s="77" t="s">
        <v>42</v>
      </c>
      <c r="F25" s="78"/>
      <c r="G25" s="78">
        <f t="shared" ref="G25" si="6">D25*F25</f>
        <v>0</v>
      </c>
      <c r="H25" s="77"/>
    </row>
    <row r="26" spans="1:8" s="10" customFormat="1" ht="9.75" customHeight="1" thickBot="1" x14ac:dyDescent="0.35">
      <c r="A26" s="9"/>
      <c r="B26" s="43"/>
      <c r="C26" s="43"/>
      <c r="D26" s="48"/>
      <c r="E26" s="44"/>
      <c r="F26" s="45"/>
      <c r="G26" s="46"/>
      <c r="H26" s="44"/>
    </row>
    <row r="27" spans="1:8" s="10" customFormat="1" ht="25.2" thickBot="1" x14ac:dyDescent="0.35">
      <c r="A27" s="59">
        <v>6</v>
      </c>
      <c r="B27" s="52" t="s">
        <v>16</v>
      </c>
      <c r="C27" s="52"/>
      <c r="D27" s="111"/>
      <c r="E27" s="111"/>
      <c r="F27" s="111"/>
      <c r="G27" s="111"/>
      <c r="H27" s="69">
        <f>SUM(G28)</f>
        <v>0</v>
      </c>
    </row>
    <row r="28" spans="1:8" s="86" customFormat="1" ht="50.4" x14ac:dyDescent="0.3">
      <c r="A28" s="74">
        <f>+A27+0.01</f>
        <v>6.01</v>
      </c>
      <c r="B28" s="84" t="s">
        <v>47</v>
      </c>
      <c r="C28" s="85" t="e">
        <f>+#REF!*2.42*1.05</f>
        <v>#REF!</v>
      </c>
      <c r="D28" s="77">
        <v>692.77</v>
      </c>
      <c r="E28" s="77" t="s">
        <v>39</v>
      </c>
      <c r="F28" s="78"/>
      <c r="G28" s="78">
        <f t="shared" ref="G28" si="7">D28*F28</f>
        <v>0</v>
      </c>
      <c r="H28" s="77"/>
    </row>
    <row r="29" spans="1:8" ht="6" customHeight="1" thickBot="1" x14ac:dyDescent="0.3">
      <c r="A29" s="112"/>
      <c r="B29" s="113"/>
      <c r="C29" s="113"/>
      <c r="D29" s="113"/>
      <c r="E29" s="113"/>
      <c r="F29" s="113"/>
      <c r="G29" s="113"/>
      <c r="H29" s="114"/>
    </row>
    <row r="30" spans="1:8" s="79" customFormat="1" ht="25.2" thickBot="1" x14ac:dyDescent="0.3">
      <c r="A30" s="87">
        <v>7</v>
      </c>
      <c r="B30" s="88" t="s">
        <v>43</v>
      </c>
      <c r="C30" s="88"/>
      <c r="D30" s="115"/>
      <c r="E30" s="115"/>
      <c r="F30" s="115"/>
      <c r="G30" s="115"/>
      <c r="H30" s="91">
        <f>SUM(G31:G33)</f>
        <v>0</v>
      </c>
    </row>
    <row r="31" spans="1:8" s="79" customFormat="1" ht="25.2" x14ac:dyDescent="0.25">
      <c r="A31" s="74">
        <f>+A30+0.01</f>
        <v>7.01</v>
      </c>
      <c r="B31" s="80" t="s">
        <v>52</v>
      </c>
      <c r="C31" s="81"/>
      <c r="D31" s="82">
        <v>14</v>
      </c>
      <c r="E31" s="82" t="s">
        <v>12</v>
      </c>
      <c r="F31" s="89"/>
      <c r="G31" s="89">
        <f t="shared" ref="G31:G33" si="8">D31*F31</f>
        <v>0</v>
      </c>
      <c r="H31" s="116"/>
    </row>
    <row r="32" spans="1:8" s="79" customFormat="1" ht="25.2" x14ac:dyDescent="0.25">
      <c r="A32" s="74">
        <f t="shared" ref="A32:A33" si="9">+A31+0.01</f>
        <v>7.02</v>
      </c>
      <c r="B32" s="80" t="s">
        <v>50</v>
      </c>
      <c r="C32" s="81" t="e">
        <f>+#REF!*2.42*1.05</f>
        <v>#REF!</v>
      </c>
      <c r="D32" s="82">
        <v>8</v>
      </c>
      <c r="E32" s="82" t="s">
        <v>12</v>
      </c>
      <c r="F32" s="89"/>
      <c r="G32" s="89">
        <f t="shared" si="8"/>
        <v>0</v>
      </c>
      <c r="H32" s="116"/>
    </row>
    <row r="33" spans="1:8" s="79" customFormat="1" ht="25.2" x14ac:dyDescent="0.25">
      <c r="A33" s="74">
        <f t="shared" si="9"/>
        <v>7.0299999999999994</v>
      </c>
      <c r="B33" s="80" t="s">
        <v>51</v>
      </c>
      <c r="C33" s="90"/>
      <c r="D33" s="82">
        <v>5</v>
      </c>
      <c r="E33" s="82" t="s">
        <v>12</v>
      </c>
      <c r="F33" s="89"/>
      <c r="G33" s="89">
        <f t="shared" si="8"/>
        <v>0</v>
      </c>
      <c r="H33" s="116"/>
    </row>
    <row r="34" spans="1:8" ht="6.75" customHeight="1" thickBot="1" x14ac:dyDescent="0.3">
      <c r="A34" s="9"/>
      <c r="B34" s="43"/>
      <c r="C34" s="43"/>
      <c r="D34" s="48"/>
      <c r="E34" s="44"/>
      <c r="F34" s="45"/>
      <c r="G34" s="46"/>
      <c r="H34" s="44"/>
    </row>
    <row r="35" spans="1:8" ht="25.8" thickBot="1" x14ac:dyDescent="0.3">
      <c r="A35" s="59">
        <v>8</v>
      </c>
      <c r="B35" s="57" t="s">
        <v>17</v>
      </c>
      <c r="C35" s="53">
        <f>+((9.19*21.87)-(5.19*2.88)-(3.26*2.54))*1.05</f>
        <v>186.64558500000001</v>
      </c>
      <c r="D35" s="106"/>
      <c r="E35" s="107"/>
      <c r="F35" s="107"/>
      <c r="G35" s="107"/>
      <c r="H35" s="69">
        <f>SUM(G36)</f>
        <v>0</v>
      </c>
    </row>
    <row r="36" spans="1:8" s="79" customFormat="1" ht="25.2" x14ac:dyDescent="0.25">
      <c r="A36" s="74">
        <f>+A35+0.01</f>
        <v>8.01</v>
      </c>
      <c r="B36" s="85" t="s">
        <v>44</v>
      </c>
      <c r="C36" s="85"/>
      <c r="D36" s="77">
        <v>1</v>
      </c>
      <c r="E36" s="77" t="s">
        <v>19</v>
      </c>
      <c r="F36" s="78"/>
      <c r="G36" s="78">
        <f>D36*F36</f>
        <v>0</v>
      </c>
      <c r="H36" s="77"/>
    </row>
    <row r="37" spans="1:8" ht="6" customHeight="1" thickBot="1" x14ac:dyDescent="0.3">
      <c r="A37" s="108"/>
      <c r="B37" s="108"/>
      <c r="C37" s="108"/>
      <c r="D37" s="108"/>
      <c r="E37" s="108"/>
      <c r="F37" s="108"/>
      <c r="G37" s="108"/>
      <c r="H37" s="108"/>
    </row>
    <row r="38" spans="1:8" ht="27" customHeight="1" thickBot="1" x14ac:dyDescent="0.5">
      <c r="A38" s="56"/>
      <c r="B38" s="54" t="s">
        <v>20</v>
      </c>
      <c r="C38" s="54"/>
      <c r="D38" s="54"/>
      <c r="E38" s="54"/>
      <c r="F38" s="54"/>
      <c r="G38" s="55"/>
      <c r="H38" s="70">
        <f>SUM(H35,H30,H27,,H24,H21,H17,H11)</f>
        <v>0</v>
      </c>
    </row>
    <row r="39" spans="1:8" s="11" customFormat="1" ht="11.25" customHeight="1" x14ac:dyDescent="0.25">
      <c r="A39" s="109"/>
      <c r="B39" s="109"/>
      <c r="C39" s="109"/>
      <c r="D39" s="109"/>
      <c r="E39" s="109"/>
      <c r="F39" s="109"/>
      <c r="G39" s="109"/>
      <c r="H39" s="109"/>
    </row>
    <row r="40" spans="1:8" s="18" customFormat="1" ht="22.5" customHeight="1" x14ac:dyDescent="0.4">
      <c r="A40" s="37"/>
      <c r="B40" s="61" t="s">
        <v>5</v>
      </c>
      <c r="C40" s="102">
        <v>0.02</v>
      </c>
      <c r="D40" s="102"/>
      <c r="E40" s="102"/>
      <c r="F40" s="21"/>
      <c r="G40" s="19">
        <f>+C40*H38</f>
        <v>0</v>
      </c>
      <c r="H40" s="22"/>
    </row>
    <row r="41" spans="1:8" s="18" customFormat="1" ht="24" customHeight="1" x14ac:dyDescent="0.45">
      <c r="A41" s="37"/>
      <c r="B41" s="8" t="s">
        <v>23</v>
      </c>
      <c r="C41" s="102">
        <v>0.1</v>
      </c>
      <c r="D41" s="102"/>
      <c r="E41" s="102"/>
      <c r="F41" s="21"/>
      <c r="G41" s="19">
        <f>+C41*H38</f>
        <v>0</v>
      </c>
      <c r="H41" s="22"/>
    </row>
    <row r="42" spans="1:8" s="18" customFormat="1" ht="24" customHeight="1" x14ac:dyDescent="0.45">
      <c r="A42" s="37"/>
      <c r="B42" s="8" t="s">
        <v>24</v>
      </c>
      <c r="C42" s="102">
        <v>0.03</v>
      </c>
      <c r="D42" s="102"/>
      <c r="E42" s="102"/>
      <c r="F42" s="21"/>
      <c r="G42" s="19">
        <f>+C42*H38</f>
        <v>0</v>
      </c>
      <c r="H42" s="22"/>
    </row>
    <row r="43" spans="1:8" s="18" customFormat="1" ht="24" customHeight="1" x14ac:dyDescent="0.45">
      <c r="A43" s="37"/>
      <c r="B43" s="8" t="s">
        <v>25</v>
      </c>
      <c r="C43" s="102">
        <v>0.05</v>
      </c>
      <c r="D43" s="102"/>
      <c r="E43" s="102"/>
      <c r="F43" s="21"/>
      <c r="G43" s="19">
        <f>+C43*H38</f>
        <v>0</v>
      </c>
      <c r="H43" s="22"/>
    </row>
    <row r="44" spans="1:8" s="18" customFormat="1" ht="24" customHeight="1" x14ac:dyDescent="0.45">
      <c r="A44" s="37"/>
      <c r="B44" s="8" t="s">
        <v>26</v>
      </c>
      <c r="C44" s="102">
        <v>0.01</v>
      </c>
      <c r="D44" s="102"/>
      <c r="E44" s="102"/>
      <c r="F44" s="21"/>
      <c r="G44" s="19">
        <f>+C44*H38</f>
        <v>0</v>
      </c>
      <c r="H44" s="22"/>
    </row>
    <row r="45" spans="1:8" s="18" customFormat="1" ht="24" customHeight="1" x14ac:dyDescent="0.45">
      <c r="A45" s="37"/>
      <c r="B45" s="8" t="s">
        <v>27</v>
      </c>
      <c r="C45" s="102">
        <v>0.05</v>
      </c>
      <c r="D45" s="102"/>
      <c r="E45" s="102"/>
      <c r="F45" s="21"/>
      <c r="G45" s="19">
        <f>+C45*H38</f>
        <v>0</v>
      </c>
      <c r="H45" s="22"/>
    </row>
    <row r="46" spans="1:8" s="20" customFormat="1" ht="24" customHeight="1" x14ac:dyDescent="0.45">
      <c r="A46" s="37"/>
      <c r="B46" s="8" t="s">
        <v>28</v>
      </c>
      <c r="D46" s="103">
        <v>0</v>
      </c>
      <c r="E46" s="104"/>
      <c r="F46" s="92"/>
      <c r="G46" s="19">
        <v>0</v>
      </c>
      <c r="H46" s="19">
        <f>+D46*I39</f>
        <v>0</v>
      </c>
    </row>
    <row r="47" spans="1:8" s="18" customFormat="1" ht="24" customHeight="1" x14ac:dyDescent="0.45">
      <c r="A47" s="37"/>
      <c r="B47" s="8" t="s">
        <v>29</v>
      </c>
      <c r="C47" s="102">
        <v>1E-3</v>
      </c>
      <c r="D47" s="102">
        <v>1E-4</v>
      </c>
      <c r="E47" s="102"/>
      <c r="F47" s="21"/>
      <c r="G47" s="19">
        <f>+C47*H38</f>
        <v>0</v>
      </c>
      <c r="H47" s="22"/>
    </row>
    <row r="48" spans="1:8" s="11" customFormat="1" ht="24" customHeight="1" thickBot="1" x14ac:dyDescent="0.5">
      <c r="A48" s="38"/>
      <c r="B48" s="60" t="s">
        <v>30</v>
      </c>
      <c r="C48" s="105">
        <v>0.18</v>
      </c>
      <c r="D48" s="105"/>
      <c r="E48" s="105"/>
      <c r="F48" s="93"/>
      <c r="G48" s="94">
        <f>+C48*G41</f>
        <v>0</v>
      </c>
      <c r="H48" s="95">
        <f>SUM(G40:G48)</f>
        <v>0</v>
      </c>
    </row>
    <row r="49" spans="1:8" ht="30" customHeight="1" thickBot="1" x14ac:dyDescent="0.45">
      <c r="A49" s="63"/>
      <c r="B49" s="62" t="s">
        <v>31</v>
      </c>
      <c r="C49" s="64"/>
      <c r="D49" s="65"/>
      <c r="E49" s="65"/>
      <c r="F49" s="66"/>
      <c r="G49" s="67"/>
      <c r="H49" s="96">
        <f>+H48+H38</f>
        <v>0</v>
      </c>
    </row>
    <row r="50" spans="1:8" ht="30" customHeight="1" x14ac:dyDescent="0.25"/>
    <row r="51" spans="1:8" ht="30" customHeight="1" x14ac:dyDescent="0.25">
      <c r="E51" s="68"/>
      <c r="F51" s="68"/>
      <c r="G51" s="68"/>
      <c r="H51" s="68"/>
    </row>
    <row r="52" spans="1:8" ht="30" customHeight="1" x14ac:dyDescent="0.25">
      <c r="B52" s="23"/>
      <c r="E52" s="100"/>
      <c r="F52" s="100"/>
      <c r="G52" s="100"/>
      <c r="H52" s="100"/>
    </row>
    <row r="53" spans="1:8" ht="30" customHeight="1" x14ac:dyDescent="0.5">
      <c r="B53" s="24" t="s">
        <v>32</v>
      </c>
      <c r="E53" s="101" t="s">
        <v>33</v>
      </c>
      <c r="F53" s="101"/>
      <c r="G53" s="101"/>
      <c r="H53" s="101"/>
    </row>
    <row r="54" spans="1:8" ht="30" customHeight="1" x14ac:dyDescent="0.25"/>
    <row r="55" spans="1:8" ht="30" customHeight="1" x14ac:dyDescent="0.25"/>
    <row r="56" spans="1:8" ht="30" customHeight="1" x14ac:dyDescent="0.25"/>
    <row r="57" spans="1:8" ht="30" customHeight="1" x14ac:dyDescent="0.25"/>
    <row r="58" spans="1:8" ht="30" customHeight="1" x14ac:dyDescent="0.25"/>
    <row r="59" spans="1:8" ht="30" customHeight="1" x14ac:dyDescent="0.25"/>
    <row r="60" spans="1:8" ht="30" customHeight="1" x14ac:dyDescent="0.25"/>
    <row r="61" spans="1:8" ht="30" customHeight="1" x14ac:dyDescent="0.25"/>
    <row r="62" spans="1:8" ht="30" customHeight="1" x14ac:dyDescent="0.25"/>
    <row r="63" spans="1:8" ht="30" customHeight="1" x14ac:dyDescent="0.25"/>
    <row r="64" spans="1:8" ht="30" customHeight="1" x14ac:dyDescent="0.25"/>
    <row r="65" ht="30" customHeight="1" x14ac:dyDescent="0.25"/>
    <row r="66" ht="30" customHeight="1" x14ac:dyDescent="0.25"/>
    <row r="67" ht="30" customHeight="1" x14ac:dyDescent="0.25"/>
  </sheetData>
  <mergeCells count="32">
    <mergeCell ref="D21:G21"/>
    <mergeCell ref="A2:H2"/>
    <mergeCell ref="A3:H3"/>
    <mergeCell ref="A4:H4"/>
    <mergeCell ref="B5:H5"/>
    <mergeCell ref="A7:H7"/>
    <mergeCell ref="D11:G11"/>
    <mergeCell ref="H12:H15"/>
    <mergeCell ref="A16:H16"/>
    <mergeCell ref="D17:G17"/>
    <mergeCell ref="H18:H19"/>
    <mergeCell ref="A20:H20"/>
    <mergeCell ref="C42:E42"/>
    <mergeCell ref="A23:H23"/>
    <mergeCell ref="D24:G24"/>
    <mergeCell ref="D27:G27"/>
    <mergeCell ref="A29:H29"/>
    <mergeCell ref="D30:G30"/>
    <mergeCell ref="H31:H33"/>
    <mergeCell ref="D35:G35"/>
    <mergeCell ref="A37:H37"/>
    <mergeCell ref="A39:H39"/>
    <mergeCell ref="C40:E40"/>
    <mergeCell ref="C41:E41"/>
    <mergeCell ref="E52:H52"/>
    <mergeCell ref="E53:H53"/>
    <mergeCell ref="C43:E43"/>
    <mergeCell ref="C44:E44"/>
    <mergeCell ref="C45:E45"/>
    <mergeCell ref="D46:E46"/>
    <mergeCell ref="C47:E47"/>
    <mergeCell ref="C48:E48"/>
  </mergeCells>
  <pageMargins left="0.7" right="0.7" top="0.75" bottom="0.75" header="0.3" footer="0.3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D09E-DCB5-45AE-9718-ABA263C22FF0}">
  <dimension ref="A1:O77"/>
  <sheetViews>
    <sheetView topLeftCell="A37" zoomScale="60" zoomScaleNormal="60" workbookViewId="0">
      <selection activeCell="B39" sqref="B39"/>
    </sheetView>
  </sheetViews>
  <sheetFormatPr baseColWidth="10" defaultColWidth="9.109375" defaultRowHeight="13.8" x14ac:dyDescent="0.25"/>
  <cols>
    <col min="1" max="1" width="11.33203125" style="10" customWidth="1"/>
    <col min="2" max="2" width="89.33203125" style="13" customWidth="1"/>
    <col min="3" max="3" width="25.109375" style="14" hidden="1" customWidth="1"/>
    <col min="4" max="4" width="15.109375" style="15" bestFit="1" customWidth="1"/>
    <col min="5" max="5" width="11" style="15" bestFit="1" customWidth="1"/>
    <col min="6" max="6" width="13.77734375" style="16" customWidth="1"/>
    <col min="7" max="7" width="22.88671875" style="1" customWidth="1"/>
    <col min="8" max="8" width="28.6640625" style="17" bestFit="1" customWidth="1"/>
    <col min="9" max="9" width="11.5546875" style="1" bestFit="1" customWidth="1"/>
    <col min="10" max="10" width="10.5546875" style="1" bestFit="1" customWidth="1"/>
    <col min="11" max="11" width="8.6640625" style="1" customWidth="1"/>
    <col min="12" max="12" width="0.88671875" style="1" hidden="1" customWidth="1"/>
    <col min="13" max="13" width="20.44140625" style="1" hidden="1" customWidth="1"/>
    <col min="14" max="14" width="18.6640625" style="1" hidden="1" customWidth="1"/>
    <col min="15" max="15" width="36.109375" style="1" hidden="1" customWidth="1"/>
    <col min="16" max="16384" width="9.109375" style="1"/>
  </cols>
  <sheetData>
    <row r="1" spans="1:15" ht="25.2" x14ac:dyDescent="0.45">
      <c r="A1" s="127"/>
      <c r="B1" s="128"/>
      <c r="C1" s="129"/>
      <c r="D1" s="130"/>
      <c r="E1" s="130"/>
      <c r="F1" s="131"/>
      <c r="G1" s="132"/>
      <c r="H1" s="133"/>
    </row>
    <row r="2" spans="1:15" s="135" customFormat="1" ht="24.75" customHeight="1" x14ac:dyDescent="0.5">
      <c r="A2" s="134" t="s">
        <v>34</v>
      </c>
      <c r="B2" s="134"/>
      <c r="C2" s="134"/>
      <c r="D2" s="134"/>
      <c r="E2" s="134"/>
      <c r="F2" s="134"/>
      <c r="G2" s="134"/>
      <c r="H2" s="134"/>
    </row>
    <row r="3" spans="1:15" s="135" customFormat="1" ht="24.75" customHeight="1" x14ac:dyDescent="0.5">
      <c r="A3" s="134" t="s">
        <v>35</v>
      </c>
      <c r="B3" s="134"/>
      <c r="C3" s="134"/>
      <c r="D3" s="134"/>
      <c r="E3" s="134"/>
      <c r="F3" s="134"/>
      <c r="G3" s="134"/>
      <c r="H3" s="134"/>
    </row>
    <row r="4" spans="1:15" s="135" customFormat="1" ht="24.75" customHeight="1" x14ac:dyDescent="0.5">
      <c r="A4" s="134" t="s">
        <v>36</v>
      </c>
      <c r="B4" s="134"/>
      <c r="C4" s="134"/>
      <c r="D4" s="134"/>
      <c r="E4" s="134"/>
      <c r="F4" s="134"/>
      <c r="G4" s="134"/>
      <c r="H4" s="134"/>
    </row>
    <row r="5" spans="1:15" s="135" customFormat="1" ht="24.75" customHeight="1" x14ac:dyDescent="0.3">
      <c r="A5" s="136" t="s">
        <v>56</v>
      </c>
      <c r="B5" s="136"/>
      <c r="C5" s="136"/>
      <c r="D5" s="136"/>
      <c r="E5" s="136"/>
      <c r="F5" s="136"/>
      <c r="G5" s="136"/>
      <c r="H5" s="136"/>
    </row>
    <row r="6" spans="1:15" customFormat="1" ht="6" customHeight="1" x14ac:dyDescent="0.5">
      <c r="A6" s="137"/>
      <c r="B6" s="138"/>
      <c r="C6" s="139"/>
      <c r="D6" s="139"/>
      <c r="E6" s="139"/>
      <c r="F6" s="140"/>
      <c r="G6" s="141"/>
      <c r="H6" s="140"/>
    </row>
    <row r="7" spans="1:15" customFormat="1" ht="26.25" customHeight="1" x14ac:dyDescent="0.3">
      <c r="A7" s="142" t="s">
        <v>37</v>
      </c>
      <c r="B7" s="142"/>
      <c r="C7" s="142"/>
      <c r="D7" s="142"/>
      <c r="E7" s="142"/>
      <c r="F7" s="142"/>
      <c r="G7" s="142"/>
      <c r="H7" s="142"/>
    </row>
    <row r="8" spans="1:15" ht="8.25" customHeight="1" thickBot="1" x14ac:dyDescent="0.5">
      <c r="A8" s="127"/>
      <c r="B8" s="128"/>
      <c r="C8" s="129"/>
      <c r="D8" s="130"/>
      <c r="E8" s="130"/>
      <c r="F8" s="131"/>
      <c r="G8" s="132"/>
      <c r="H8" s="133"/>
    </row>
    <row r="9" spans="1:15" ht="36" customHeight="1" thickBot="1" x14ac:dyDescent="0.3">
      <c r="A9" s="26" t="s">
        <v>0</v>
      </c>
      <c r="B9" s="27" t="s">
        <v>6</v>
      </c>
      <c r="C9" s="28" t="s">
        <v>22</v>
      </c>
      <c r="D9" s="29" t="s">
        <v>21</v>
      </c>
      <c r="E9" s="29" t="s">
        <v>1</v>
      </c>
      <c r="F9" s="29" t="s">
        <v>2</v>
      </c>
      <c r="G9" s="29" t="s">
        <v>3</v>
      </c>
      <c r="H9" s="30" t="s">
        <v>4</v>
      </c>
      <c r="M9" s="1" t="s">
        <v>7</v>
      </c>
      <c r="N9" s="1" t="s">
        <v>8</v>
      </c>
      <c r="O9" s="1" t="s">
        <v>9</v>
      </c>
    </row>
    <row r="10" spans="1:15" ht="9.6" customHeight="1" thickBot="1" x14ac:dyDescent="0.5">
      <c r="A10" s="38"/>
      <c r="B10" s="128"/>
      <c r="C10" s="129"/>
      <c r="D10" s="130"/>
      <c r="E10" s="130"/>
      <c r="F10" s="131"/>
      <c r="G10" s="132"/>
      <c r="H10" s="7"/>
      <c r="L10" s="1" t="s">
        <v>10</v>
      </c>
      <c r="M10" s="1">
        <f>39600+29750+38700+28500+45900+32300+96000+35000</f>
        <v>345750</v>
      </c>
      <c r="N10" s="1">
        <v>300000</v>
      </c>
      <c r="O10" s="1">
        <v>368000</v>
      </c>
    </row>
    <row r="11" spans="1:15" ht="25.8" thickBot="1" x14ac:dyDescent="0.45">
      <c r="A11" s="59">
        <v>1</v>
      </c>
      <c r="B11" s="58" t="s">
        <v>13</v>
      </c>
      <c r="C11" s="49"/>
      <c r="D11" s="106"/>
      <c r="E11" s="107"/>
      <c r="F11" s="107"/>
      <c r="G11" s="107"/>
      <c r="H11" s="69">
        <f>SUM(G12:G17)</f>
        <v>0</v>
      </c>
      <c r="L11" s="1" t="s">
        <v>11</v>
      </c>
      <c r="M11" s="1">
        <f>62100+5520+11675+3500</f>
        <v>82795</v>
      </c>
      <c r="O11" s="1">
        <f>116000</f>
        <v>116000</v>
      </c>
    </row>
    <row r="12" spans="1:15" ht="34.5" customHeight="1" x14ac:dyDescent="0.25">
      <c r="A12" s="143">
        <f t="shared" ref="A12:A16" si="0">+A11+0.01</f>
        <v>1.01</v>
      </c>
      <c r="B12" s="73" t="s">
        <v>15</v>
      </c>
      <c r="C12" s="40"/>
      <c r="D12" s="144">
        <v>27.99</v>
      </c>
      <c r="E12" s="144" t="s">
        <v>39</v>
      </c>
      <c r="F12" s="42"/>
      <c r="G12" s="145">
        <f t="shared" ref="G12:G17" si="1">D12*F12</f>
        <v>0</v>
      </c>
      <c r="H12" s="117"/>
    </row>
    <row r="13" spans="1:15" ht="50.4" x14ac:dyDescent="0.25">
      <c r="A13" s="143">
        <f t="shared" si="0"/>
        <v>1.02</v>
      </c>
      <c r="B13" s="73" t="s">
        <v>45</v>
      </c>
      <c r="C13" s="40"/>
      <c r="D13" s="144">
        <v>4</v>
      </c>
      <c r="E13" s="144" t="s">
        <v>12</v>
      </c>
      <c r="F13" s="42"/>
      <c r="G13" s="145">
        <f t="shared" si="1"/>
        <v>0</v>
      </c>
      <c r="H13" s="117"/>
    </row>
    <row r="14" spans="1:15" ht="25.2" x14ac:dyDescent="0.25">
      <c r="A14" s="143">
        <f t="shared" si="0"/>
        <v>1.03</v>
      </c>
      <c r="B14" s="73" t="s">
        <v>46</v>
      </c>
      <c r="C14" s="40"/>
      <c r="D14" s="144">
        <v>4</v>
      </c>
      <c r="E14" s="144" t="s">
        <v>12</v>
      </c>
      <c r="F14" s="42"/>
      <c r="G14" s="145">
        <f t="shared" si="1"/>
        <v>0</v>
      </c>
      <c r="H14" s="117"/>
    </row>
    <row r="15" spans="1:15" ht="50.4" x14ac:dyDescent="0.25">
      <c r="A15" s="143">
        <f t="shared" si="0"/>
        <v>1.04</v>
      </c>
      <c r="B15" s="73" t="s">
        <v>57</v>
      </c>
      <c r="C15" s="40"/>
      <c r="D15" s="144">
        <v>4</v>
      </c>
      <c r="E15" s="144" t="s">
        <v>12</v>
      </c>
      <c r="F15" s="42"/>
      <c r="G15" s="145">
        <f t="shared" si="1"/>
        <v>0</v>
      </c>
      <c r="H15" s="117"/>
    </row>
    <row r="16" spans="1:15" ht="25.8" x14ac:dyDescent="0.25">
      <c r="A16" s="143">
        <f t="shared" si="0"/>
        <v>1.05</v>
      </c>
      <c r="B16" s="73" t="s">
        <v>58</v>
      </c>
      <c r="C16" s="40"/>
      <c r="D16" s="144">
        <v>90</v>
      </c>
      <c r="E16" s="144" t="s">
        <v>39</v>
      </c>
      <c r="F16" s="42"/>
      <c r="G16" s="145">
        <f t="shared" si="1"/>
        <v>0</v>
      </c>
      <c r="H16" s="117"/>
    </row>
    <row r="17" spans="1:8" ht="32.25" customHeight="1" x14ac:dyDescent="0.25">
      <c r="A17" s="143">
        <f>+A16+0.01</f>
        <v>1.06</v>
      </c>
      <c r="B17" s="73" t="s">
        <v>14</v>
      </c>
      <c r="C17" s="40"/>
      <c r="D17" s="42">
        <v>1</v>
      </c>
      <c r="E17" s="42" t="s">
        <v>42</v>
      </c>
      <c r="F17" s="42"/>
      <c r="G17" s="145">
        <f t="shared" si="1"/>
        <v>0</v>
      </c>
      <c r="H17" s="118"/>
    </row>
    <row r="18" spans="1:8" ht="9" customHeight="1" thickBot="1" x14ac:dyDescent="0.3">
      <c r="A18" s="101"/>
      <c r="B18" s="101"/>
      <c r="C18" s="101"/>
      <c r="D18" s="101"/>
      <c r="E18" s="101"/>
      <c r="F18" s="101"/>
      <c r="G18" s="101"/>
      <c r="H18" s="119"/>
    </row>
    <row r="19" spans="1:8" ht="25.8" thickBot="1" x14ac:dyDescent="0.3">
      <c r="A19" s="51">
        <v>2</v>
      </c>
      <c r="B19" s="57" t="s">
        <v>38</v>
      </c>
      <c r="C19" s="50"/>
      <c r="D19" s="106"/>
      <c r="E19" s="107"/>
      <c r="F19" s="107"/>
      <c r="G19" s="107"/>
      <c r="H19" s="69">
        <f>SUM(G20:G22)</f>
        <v>0</v>
      </c>
    </row>
    <row r="20" spans="1:8" ht="66.75" customHeight="1" x14ac:dyDescent="0.25">
      <c r="A20" s="143">
        <f t="shared" ref="A20:A22" si="2">+A19+0.01</f>
        <v>2.0099999999999998</v>
      </c>
      <c r="B20" s="146" t="s">
        <v>59</v>
      </c>
      <c r="C20" s="147">
        <f>+(5.54+0.8+4.09-0.3+2.93+3.05+3.05+4.09+3.05)*2.5</f>
        <v>65.75</v>
      </c>
      <c r="D20" s="144">
        <v>33.159999999999997</v>
      </c>
      <c r="E20" s="144" t="s">
        <v>39</v>
      </c>
      <c r="F20" s="144"/>
      <c r="G20" s="145">
        <f t="shared" ref="G20:G22" si="3">D20*F20</f>
        <v>0</v>
      </c>
      <c r="H20" s="148"/>
    </row>
    <row r="21" spans="1:8" ht="57.6" customHeight="1" x14ac:dyDescent="0.25">
      <c r="A21" s="143">
        <f t="shared" si="2"/>
        <v>2.0199999999999996</v>
      </c>
      <c r="B21" s="146" t="s">
        <v>60</v>
      </c>
      <c r="C21" s="147"/>
      <c r="D21" s="144">
        <v>3.78</v>
      </c>
      <c r="E21" s="144" t="s">
        <v>39</v>
      </c>
      <c r="F21" s="144"/>
      <c r="G21" s="145">
        <f t="shared" si="3"/>
        <v>0</v>
      </c>
      <c r="H21" s="149"/>
    </row>
    <row r="22" spans="1:8" ht="66.75" customHeight="1" x14ac:dyDescent="0.25">
      <c r="A22" s="143">
        <f t="shared" si="2"/>
        <v>2.0299999999999994</v>
      </c>
      <c r="B22" s="146" t="s">
        <v>61</v>
      </c>
      <c r="C22" s="147">
        <f>+(5.54+0.8+4.09-0.3+2.93+3.05+3.05+4.09+3.05)*2.5</f>
        <v>65.75</v>
      </c>
      <c r="D22" s="144">
        <v>4</v>
      </c>
      <c r="E22" s="144" t="s">
        <v>42</v>
      </c>
      <c r="F22" s="144"/>
      <c r="G22" s="145">
        <f t="shared" si="3"/>
        <v>0</v>
      </c>
      <c r="H22" s="150"/>
    </row>
    <row r="23" spans="1:8" ht="25.8" thickBot="1" x14ac:dyDescent="0.3">
      <c r="A23" s="122"/>
      <c r="B23" s="110"/>
      <c r="C23" s="110"/>
      <c r="D23" s="110"/>
      <c r="E23" s="110"/>
      <c r="F23" s="110"/>
      <c r="G23" s="110"/>
      <c r="H23" s="123"/>
    </row>
    <row r="24" spans="1:8" ht="25.8" thickBot="1" x14ac:dyDescent="0.3">
      <c r="A24" s="51">
        <v>3</v>
      </c>
      <c r="B24" s="57" t="s">
        <v>40</v>
      </c>
      <c r="C24" s="50"/>
      <c r="D24" s="106"/>
      <c r="E24" s="107"/>
      <c r="F24" s="107"/>
      <c r="G24" s="107"/>
      <c r="H24" s="69">
        <f>SUM(G25:G26)</f>
        <v>0</v>
      </c>
    </row>
    <row r="25" spans="1:8" ht="50.4" x14ac:dyDescent="0.25">
      <c r="A25" s="143">
        <f t="shared" ref="A25:A26" si="4">+A24+0.01</f>
        <v>3.01</v>
      </c>
      <c r="B25" s="73" t="s">
        <v>62</v>
      </c>
      <c r="C25" s="40" t="s">
        <v>19</v>
      </c>
      <c r="D25" s="144">
        <v>90</v>
      </c>
      <c r="E25" s="144" t="s">
        <v>18</v>
      </c>
      <c r="F25" s="42"/>
      <c r="G25" s="145">
        <f t="shared" ref="G25:G26" si="5">D25*F25</f>
        <v>0</v>
      </c>
      <c r="H25" s="150"/>
    </row>
    <row r="26" spans="1:8" ht="30" customHeight="1" x14ac:dyDescent="0.25">
      <c r="A26" s="143">
        <f t="shared" si="4"/>
        <v>3.0199999999999996</v>
      </c>
      <c r="B26" s="151" t="s">
        <v>63</v>
      </c>
      <c r="C26" s="152"/>
      <c r="D26" s="144">
        <v>130</v>
      </c>
      <c r="E26" s="144" t="s">
        <v>39</v>
      </c>
      <c r="F26" s="42"/>
      <c r="G26" s="145">
        <f t="shared" si="5"/>
        <v>0</v>
      </c>
      <c r="H26" s="153"/>
    </row>
    <row r="27" spans="1:8" ht="25.8" thickBot="1" x14ac:dyDescent="0.3">
      <c r="A27" s="110"/>
      <c r="B27" s="110"/>
      <c r="C27" s="110"/>
      <c r="D27" s="110"/>
      <c r="E27" s="110"/>
      <c r="F27" s="110"/>
      <c r="G27" s="110"/>
      <c r="H27" s="110"/>
    </row>
    <row r="28" spans="1:8" ht="25.8" thickBot="1" x14ac:dyDescent="0.3">
      <c r="A28" s="59">
        <f>+A24+1</f>
        <v>4</v>
      </c>
      <c r="B28" s="57" t="s">
        <v>41</v>
      </c>
      <c r="C28" s="50"/>
      <c r="D28" s="106"/>
      <c r="E28" s="107"/>
      <c r="F28" s="107"/>
      <c r="G28" s="107"/>
      <c r="H28" s="69">
        <f>SUM(G29:G29)</f>
        <v>0</v>
      </c>
    </row>
    <row r="29" spans="1:8" s="10" customFormat="1" ht="25.8" x14ac:dyDescent="0.3">
      <c r="A29" s="143">
        <f>+A28+0.01</f>
        <v>4.01</v>
      </c>
      <c r="B29" s="154" t="s">
        <v>64</v>
      </c>
      <c r="C29" s="155" t="e">
        <f>+#REF!*2.42*1.05</f>
        <v>#REF!</v>
      </c>
      <c r="D29" s="144">
        <f>D16</f>
        <v>90</v>
      </c>
      <c r="E29" s="144" t="s">
        <v>39</v>
      </c>
      <c r="F29" s="145"/>
      <c r="G29" s="145">
        <f t="shared" ref="G29" si="6">D29*F29</f>
        <v>0</v>
      </c>
      <c r="H29" s="99"/>
    </row>
    <row r="30" spans="1:8" s="10" customFormat="1" ht="25.8" thickBot="1" x14ac:dyDescent="0.35">
      <c r="A30" s="127"/>
      <c r="B30" s="156"/>
      <c r="C30" s="156"/>
      <c r="D30" s="157"/>
      <c r="E30" s="157"/>
      <c r="F30" s="158"/>
      <c r="G30" s="158"/>
      <c r="H30" s="157"/>
    </row>
    <row r="31" spans="1:8" s="10" customFormat="1" ht="25.2" thickBot="1" x14ac:dyDescent="0.35">
      <c r="A31" s="59">
        <v>5</v>
      </c>
      <c r="B31" s="52" t="s">
        <v>16</v>
      </c>
      <c r="C31" s="52"/>
      <c r="D31" s="111"/>
      <c r="E31" s="111"/>
      <c r="F31" s="111"/>
      <c r="G31" s="111"/>
      <c r="H31" s="69">
        <f>SUM(G32)</f>
        <v>0</v>
      </c>
    </row>
    <row r="32" spans="1:8" s="10" customFormat="1" ht="50.4" x14ac:dyDescent="0.3">
      <c r="A32" s="143">
        <f>+A31+0.01</f>
        <v>5.01</v>
      </c>
      <c r="B32" s="154" t="s">
        <v>47</v>
      </c>
      <c r="C32" s="155" t="e">
        <f>+#REF!*2.42*1.05</f>
        <v>#REF!</v>
      </c>
      <c r="D32" s="144">
        <f>D25*2.5</f>
        <v>225</v>
      </c>
      <c r="E32" s="144" t="s">
        <v>39</v>
      </c>
      <c r="F32" s="145"/>
      <c r="G32" s="145">
        <f t="shared" ref="G32" si="7">D32*F32</f>
        <v>0</v>
      </c>
      <c r="H32" s="144"/>
    </row>
    <row r="33" spans="1:8" ht="25.8" thickBot="1" x14ac:dyDescent="0.3">
      <c r="A33" s="159"/>
      <c r="B33" s="101"/>
      <c r="C33" s="101"/>
      <c r="D33" s="101"/>
      <c r="E33" s="101"/>
      <c r="F33" s="101"/>
      <c r="G33" s="101"/>
      <c r="H33" s="119"/>
    </row>
    <row r="34" spans="1:8" ht="25.2" thickBot="1" x14ac:dyDescent="0.3">
      <c r="A34" s="59">
        <v>6</v>
      </c>
      <c r="B34" s="52" t="s">
        <v>43</v>
      </c>
      <c r="C34" s="52"/>
      <c r="D34" s="111"/>
      <c r="E34" s="111"/>
      <c r="F34" s="111"/>
      <c r="G34" s="111"/>
      <c r="H34" s="69">
        <f>SUM(G35:G41)</f>
        <v>0</v>
      </c>
    </row>
    <row r="35" spans="1:8" ht="67.2" customHeight="1" x14ac:dyDescent="0.25">
      <c r="A35" s="143">
        <f>+A34+0.01</f>
        <v>6.01</v>
      </c>
      <c r="B35" s="154" t="s">
        <v>65</v>
      </c>
      <c r="C35" s="160"/>
      <c r="D35" s="144">
        <v>2</v>
      </c>
      <c r="E35" s="144" t="s">
        <v>12</v>
      </c>
      <c r="F35" s="145"/>
      <c r="G35" s="145">
        <f t="shared" ref="G35:G41" si="8">D35*F35</f>
        <v>0</v>
      </c>
      <c r="H35" s="161"/>
    </row>
    <row r="36" spans="1:8" ht="32.4" customHeight="1" x14ac:dyDescent="0.25">
      <c r="A36" s="143">
        <f t="shared" ref="A36:A41" si="9">+A35+0.01</f>
        <v>6.02</v>
      </c>
      <c r="B36" s="73" t="s">
        <v>52</v>
      </c>
      <c r="C36" s="40"/>
      <c r="D36" s="42">
        <v>3</v>
      </c>
      <c r="E36" s="42" t="s">
        <v>12</v>
      </c>
      <c r="F36" s="162"/>
      <c r="G36" s="162">
        <f t="shared" si="8"/>
        <v>0</v>
      </c>
      <c r="H36" s="161"/>
    </row>
    <row r="37" spans="1:8" ht="45" customHeight="1" x14ac:dyDescent="0.25">
      <c r="A37" s="143">
        <f t="shared" si="9"/>
        <v>6.0299999999999994</v>
      </c>
      <c r="B37" s="73" t="s">
        <v>66</v>
      </c>
      <c r="C37" s="40"/>
      <c r="D37" s="42">
        <v>4</v>
      </c>
      <c r="E37" s="42" t="s">
        <v>12</v>
      </c>
      <c r="F37" s="162"/>
      <c r="G37" s="162">
        <f t="shared" si="8"/>
        <v>0</v>
      </c>
      <c r="H37" s="161"/>
    </row>
    <row r="38" spans="1:8" ht="48" customHeight="1" x14ac:dyDescent="0.25">
      <c r="A38" s="143">
        <f>+A37+0.01</f>
        <v>6.0399999999999991</v>
      </c>
      <c r="B38" s="73" t="s">
        <v>67</v>
      </c>
      <c r="C38" s="40"/>
      <c r="D38" s="42">
        <v>4</v>
      </c>
      <c r="E38" s="42" t="s">
        <v>12</v>
      </c>
      <c r="F38" s="162"/>
      <c r="G38" s="162">
        <f t="shared" si="8"/>
        <v>0</v>
      </c>
      <c r="H38" s="161"/>
    </row>
    <row r="39" spans="1:8" ht="38.4" customHeight="1" x14ac:dyDescent="0.25">
      <c r="A39" s="143">
        <f t="shared" ref="A39:A41" si="10">+A38+0.01</f>
        <v>6.0499999999999989</v>
      </c>
      <c r="B39" s="73" t="s">
        <v>68</v>
      </c>
      <c r="C39" s="40"/>
      <c r="D39" s="42">
        <v>4</v>
      </c>
      <c r="E39" s="42" t="s">
        <v>12</v>
      </c>
      <c r="F39" s="162"/>
      <c r="G39" s="162">
        <f t="shared" si="8"/>
        <v>0</v>
      </c>
      <c r="H39" s="161"/>
    </row>
    <row r="40" spans="1:8" ht="38.4" customHeight="1" x14ac:dyDescent="0.25">
      <c r="A40" s="143">
        <f t="shared" si="10"/>
        <v>6.0599999999999987</v>
      </c>
      <c r="B40" s="73" t="s">
        <v>50</v>
      </c>
      <c r="C40" s="40" t="e">
        <f>+#REF!*2.42*1.05</f>
        <v>#REF!</v>
      </c>
      <c r="D40" s="42">
        <v>4</v>
      </c>
      <c r="E40" s="42" t="s">
        <v>12</v>
      </c>
      <c r="F40" s="162"/>
      <c r="G40" s="162">
        <f t="shared" si="8"/>
        <v>0</v>
      </c>
      <c r="H40" s="161"/>
    </row>
    <row r="41" spans="1:8" ht="38.4" customHeight="1" x14ac:dyDescent="0.25">
      <c r="A41" s="143">
        <f t="shared" si="10"/>
        <v>6.0699999999999985</v>
      </c>
      <c r="B41" s="73" t="s">
        <v>69</v>
      </c>
      <c r="C41" s="156"/>
      <c r="D41" s="42">
        <v>4</v>
      </c>
      <c r="E41" s="42" t="s">
        <v>12</v>
      </c>
      <c r="F41" s="162"/>
      <c r="G41" s="162">
        <f t="shared" si="8"/>
        <v>0</v>
      </c>
      <c r="H41" s="163"/>
    </row>
    <row r="42" spans="1:8" ht="25.8" thickBot="1" x14ac:dyDescent="0.3">
      <c r="A42" s="127"/>
      <c r="B42" s="156"/>
      <c r="C42" s="156"/>
      <c r="D42" s="157"/>
      <c r="E42" s="157"/>
      <c r="F42" s="158"/>
      <c r="G42" s="164"/>
      <c r="H42" s="157"/>
    </row>
    <row r="43" spans="1:8" ht="25.8" thickBot="1" x14ac:dyDescent="0.3">
      <c r="A43" s="59">
        <v>7</v>
      </c>
      <c r="B43" s="57" t="s">
        <v>17</v>
      </c>
      <c r="C43" s="53">
        <f>+((9.19*21.87)-(5.19*2.88)-(3.26*2.54))*1.05</f>
        <v>186.64558500000001</v>
      </c>
      <c r="D43" s="106"/>
      <c r="E43" s="107"/>
      <c r="F43" s="107"/>
      <c r="G43" s="107"/>
      <c r="H43" s="69">
        <f>SUM(G44)</f>
        <v>0</v>
      </c>
    </row>
    <row r="44" spans="1:8" ht="25.2" x14ac:dyDescent="0.25">
      <c r="A44" s="143">
        <f>+A43+0.01</f>
        <v>7.01</v>
      </c>
      <c r="B44" s="155" t="s">
        <v>70</v>
      </c>
      <c r="C44" s="155"/>
      <c r="D44" s="144">
        <v>1</v>
      </c>
      <c r="E44" s="144" t="s">
        <v>19</v>
      </c>
      <c r="F44" s="145"/>
      <c r="G44" s="145">
        <f>D44*F44</f>
        <v>0</v>
      </c>
      <c r="H44" s="144"/>
    </row>
    <row r="45" spans="1:8" ht="16.2" customHeight="1" thickBot="1" x14ac:dyDescent="0.3">
      <c r="A45" s="108"/>
      <c r="B45" s="108"/>
      <c r="C45" s="108"/>
      <c r="D45" s="108"/>
      <c r="E45" s="108"/>
      <c r="F45" s="108"/>
      <c r="G45" s="108"/>
      <c r="H45" s="108"/>
    </row>
    <row r="46" spans="1:8" ht="27" customHeight="1" thickBot="1" x14ac:dyDescent="0.45">
      <c r="A46" s="165"/>
      <c r="B46" s="166" t="s">
        <v>20</v>
      </c>
      <c r="C46" s="167"/>
      <c r="D46" s="168"/>
      <c r="E46" s="169"/>
      <c r="F46" s="169"/>
      <c r="G46" s="169"/>
      <c r="H46" s="170">
        <f>SUM(H43,H34,H31,H28,H24,H19,H11)</f>
        <v>0</v>
      </c>
    </row>
    <row r="47" spans="1:8" ht="12" customHeight="1" x14ac:dyDescent="0.25">
      <c r="A47" s="171"/>
      <c r="B47" s="172"/>
      <c r="C47" s="172"/>
      <c r="D47" s="172"/>
      <c r="E47" s="172"/>
      <c r="F47" s="172"/>
      <c r="G47" s="172"/>
      <c r="H47" s="173"/>
    </row>
    <row r="48" spans="1:8" customFormat="1" ht="31.5" customHeight="1" x14ac:dyDescent="0.45">
      <c r="A48" s="37"/>
      <c r="B48" s="61" t="s">
        <v>5</v>
      </c>
      <c r="C48" s="174"/>
      <c r="D48" s="174"/>
      <c r="E48" s="174"/>
      <c r="F48" s="8"/>
      <c r="G48" s="8"/>
      <c r="H48" s="8"/>
    </row>
    <row r="49" spans="1:8" customFormat="1" ht="25.2" x14ac:dyDescent="0.45">
      <c r="A49" s="37"/>
      <c r="B49" s="8" t="s">
        <v>23</v>
      </c>
      <c r="C49" s="175">
        <v>0.02</v>
      </c>
      <c r="D49" s="175"/>
      <c r="E49" s="175"/>
      <c r="F49" s="8">
        <f>C49*H$46</f>
        <v>0</v>
      </c>
      <c r="G49" s="8"/>
      <c r="H49" s="8"/>
    </row>
    <row r="50" spans="1:8" customFormat="1" ht="25.2" customHeight="1" x14ac:dyDescent="0.45">
      <c r="A50" s="37"/>
      <c r="B50" s="8" t="s">
        <v>71</v>
      </c>
      <c r="C50" s="175">
        <v>0.1</v>
      </c>
      <c r="D50" s="175"/>
      <c r="E50" s="175"/>
      <c r="F50" s="8">
        <f t="shared" ref="F50:F55" si="11">C50*H$46</f>
        <v>0</v>
      </c>
      <c r="G50" s="8"/>
      <c r="H50" s="8"/>
    </row>
    <row r="51" spans="1:8" customFormat="1" ht="25.2" customHeight="1" x14ac:dyDescent="0.45">
      <c r="A51" s="37"/>
      <c r="B51" s="8" t="s">
        <v>25</v>
      </c>
      <c r="C51" s="175">
        <v>0.03</v>
      </c>
      <c r="D51" s="175"/>
      <c r="E51" s="175"/>
      <c r="F51" s="8">
        <f t="shared" si="11"/>
        <v>0</v>
      </c>
      <c r="G51" s="8"/>
      <c r="H51" s="8"/>
    </row>
    <row r="52" spans="1:8" customFormat="1" ht="25.2" customHeight="1" x14ac:dyDescent="0.45">
      <c r="A52" s="37"/>
      <c r="B52" s="8" t="s">
        <v>26</v>
      </c>
      <c r="C52" s="175">
        <v>0.05</v>
      </c>
      <c r="D52" s="175"/>
      <c r="E52" s="175"/>
      <c r="F52" s="8">
        <f t="shared" si="11"/>
        <v>0</v>
      </c>
      <c r="G52" s="8"/>
      <c r="H52" s="8"/>
    </row>
    <row r="53" spans="1:8" customFormat="1" ht="25.2" customHeight="1" x14ac:dyDescent="0.45">
      <c r="A53" s="37"/>
      <c r="B53" s="8" t="s">
        <v>27</v>
      </c>
      <c r="C53" s="175">
        <v>0.01</v>
      </c>
      <c r="D53" s="175"/>
      <c r="E53" s="175"/>
      <c r="F53" s="8">
        <f t="shared" si="11"/>
        <v>0</v>
      </c>
      <c r="G53" s="8"/>
      <c r="H53" s="8"/>
    </row>
    <row r="54" spans="1:8" customFormat="1" ht="25.2" customHeight="1" x14ac:dyDescent="0.45">
      <c r="A54" s="37"/>
      <c r="B54" s="8" t="s">
        <v>28</v>
      </c>
      <c r="C54" s="175">
        <v>0.05</v>
      </c>
      <c r="D54" s="175">
        <v>1E-4</v>
      </c>
      <c r="E54" s="175"/>
      <c r="F54" s="8">
        <f t="shared" si="11"/>
        <v>0</v>
      </c>
      <c r="G54" s="8"/>
      <c r="H54" s="8"/>
    </row>
    <row r="55" spans="1:8" customFormat="1" ht="25.2" customHeight="1" x14ac:dyDescent="0.45">
      <c r="A55" s="37"/>
      <c r="B55" s="8" t="s">
        <v>29</v>
      </c>
      <c r="C55" s="176">
        <v>1E-3</v>
      </c>
      <c r="D55" s="176"/>
      <c r="E55" s="176"/>
      <c r="F55" s="8">
        <f t="shared" si="11"/>
        <v>0</v>
      </c>
      <c r="G55" s="8"/>
      <c r="H55" s="8"/>
    </row>
    <row r="56" spans="1:8" ht="25.2" customHeight="1" thickBot="1" x14ac:dyDescent="0.5">
      <c r="A56" s="177"/>
      <c r="B56" s="178" t="s">
        <v>30</v>
      </c>
      <c r="C56" s="179"/>
      <c r="D56" s="180" t="s">
        <v>72</v>
      </c>
      <c r="E56" s="180"/>
      <c r="F56" s="178">
        <f>0.18*F50</f>
        <v>0</v>
      </c>
      <c r="G56" s="178"/>
      <c r="H56" s="178"/>
    </row>
    <row r="57" spans="1:8" ht="25.8" thickBot="1" x14ac:dyDescent="0.5">
      <c r="A57" s="181"/>
      <c r="B57" s="182" t="s">
        <v>73</v>
      </c>
      <c r="C57" s="183"/>
      <c r="D57" s="184"/>
      <c r="E57" s="184"/>
      <c r="F57" s="185"/>
      <c r="G57" s="186"/>
      <c r="H57" s="187">
        <f>SUM(F49:F56)</f>
        <v>0</v>
      </c>
    </row>
    <row r="58" spans="1:8" ht="30" customHeight="1" thickBot="1" x14ac:dyDescent="0.45">
      <c r="A58" s="188"/>
      <c r="B58" s="189" t="s">
        <v>74</v>
      </c>
      <c r="C58" s="190"/>
      <c r="D58" s="191"/>
      <c r="E58" s="191"/>
      <c r="F58" s="192"/>
      <c r="G58" s="193"/>
      <c r="H58" s="194">
        <f>SUM(H57,H46)</f>
        <v>0</v>
      </c>
    </row>
    <row r="59" spans="1:8" ht="30" customHeight="1" x14ac:dyDescent="0.25"/>
    <row r="60" spans="1:8" ht="30" customHeight="1" x14ac:dyDescent="0.25"/>
    <row r="61" spans="1:8" ht="30" customHeight="1" x14ac:dyDescent="0.25">
      <c r="E61" s="10"/>
      <c r="F61" s="10"/>
      <c r="G61" s="10"/>
      <c r="H61" s="10"/>
    </row>
    <row r="62" spans="1:8" ht="30" customHeight="1" x14ac:dyDescent="0.25">
      <c r="B62" s="23"/>
      <c r="E62" s="100"/>
      <c r="F62" s="100"/>
      <c r="G62" s="100"/>
      <c r="H62" s="100"/>
    </row>
    <row r="63" spans="1:8" ht="30" customHeight="1" x14ac:dyDescent="0.5">
      <c r="B63" s="24" t="s">
        <v>32</v>
      </c>
      <c r="E63" s="101" t="s">
        <v>33</v>
      </c>
      <c r="F63" s="101"/>
      <c r="G63" s="101"/>
      <c r="H63" s="101"/>
    </row>
    <row r="64" spans="1:8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</sheetData>
  <mergeCells count="34">
    <mergeCell ref="C55:E55"/>
    <mergeCell ref="D56:E56"/>
    <mergeCell ref="E62:H62"/>
    <mergeCell ref="E63:H63"/>
    <mergeCell ref="C49:E49"/>
    <mergeCell ref="C50:E50"/>
    <mergeCell ref="C51:E51"/>
    <mergeCell ref="C52:E52"/>
    <mergeCell ref="C53:E53"/>
    <mergeCell ref="C54:E54"/>
    <mergeCell ref="H35:H41"/>
    <mergeCell ref="D43:G43"/>
    <mergeCell ref="A45:H45"/>
    <mergeCell ref="D46:G46"/>
    <mergeCell ref="A47:H47"/>
    <mergeCell ref="C48:E48"/>
    <mergeCell ref="H25:H26"/>
    <mergeCell ref="A27:H27"/>
    <mergeCell ref="D28:G28"/>
    <mergeCell ref="D31:G31"/>
    <mergeCell ref="A33:H33"/>
    <mergeCell ref="D34:G34"/>
    <mergeCell ref="H12:H17"/>
    <mergeCell ref="A18:H18"/>
    <mergeCell ref="D19:G19"/>
    <mergeCell ref="H20:H22"/>
    <mergeCell ref="A23:H23"/>
    <mergeCell ref="D24:G24"/>
    <mergeCell ref="A2:H2"/>
    <mergeCell ref="A3:H3"/>
    <mergeCell ref="A4:H4"/>
    <mergeCell ref="A5:H5"/>
    <mergeCell ref="A7:H7"/>
    <mergeCell ref="D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B679-A664-4BB2-AF95-C238A6114D29}">
  <dimension ref="A1:O83"/>
  <sheetViews>
    <sheetView topLeftCell="A39" zoomScale="50" zoomScaleNormal="50" workbookViewId="0">
      <selection activeCell="B55" sqref="B55"/>
    </sheetView>
  </sheetViews>
  <sheetFormatPr baseColWidth="10" defaultColWidth="9.109375" defaultRowHeight="13.8" x14ac:dyDescent="0.25"/>
  <cols>
    <col min="1" max="1" width="11.33203125" style="1" customWidth="1"/>
    <col min="2" max="2" width="92.88671875" style="13" customWidth="1"/>
    <col min="3" max="3" width="25.109375" style="14" hidden="1" customWidth="1"/>
    <col min="4" max="4" width="18.88671875" style="15" customWidth="1"/>
    <col min="5" max="5" width="13.109375" style="15" customWidth="1"/>
    <col min="6" max="6" width="25.109375" style="16" customWidth="1"/>
    <col min="7" max="7" width="22.88671875" style="1" customWidth="1"/>
    <col min="8" max="8" width="37.5546875" style="17" customWidth="1"/>
    <col min="9" max="9" width="11.5546875" style="1" bestFit="1" customWidth="1"/>
    <col min="10" max="10" width="19.5546875" style="1" customWidth="1"/>
    <col min="11" max="11" width="8.6640625" style="1" customWidth="1"/>
    <col min="12" max="12" width="0.88671875" style="1" hidden="1" customWidth="1"/>
    <col min="13" max="13" width="20.44140625" style="1" hidden="1" customWidth="1"/>
    <col min="14" max="14" width="18.6640625" style="1" hidden="1" customWidth="1"/>
    <col min="15" max="15" width="36.109375" style="1" hidden="1" customWidth="1"/>
    <col min="16" max="16384" width="9.109375" style="1"/>
  </cols>
  <sheetData>
    <row r="1" spans="1:15" ht="25.2" x14ac:dyDescent="0.45">
      <c r="A1" s="394"/>
      <c r="B1" s="395"/>
      <c r="C1" s="396"/>
      <c r="D1" s="98"/>
      <c r="E1" s="98"/>
      <c r="F1" s="397"/>
      <c r="G1" s="398"/>
      <c r="H1" s="399"/>
    </row>
    <row r="2" spans="1:15" s="135" customFormat="1" ht="24.75" customHeight="1" x14ac:dyDescent="0.5">
      <c r="A2" s="400" t="s">
        <v>34</v>
      </c>
      <c r="B2" s="134"/>
      <c r="C2" s="134"/>
      <c r="D2" s="134"/>
      <c r="E2" s="134"/>
      <c r="F2" s="134"/>
      <c r="G2" s="134"/>
      <c r="H2" s="401"/>
    </row>
    <row r="3" spans="1:15" s="135" customFormat="1" ht="24.75" customHeight="1" x14ac:dyDescent="0.5">
      <c r="A3" s="400" t="s">
        <v>35</v>
      </c>
      <c r="B3" s="134"/>
      <c r="C3" s="134"/>
      <c r="D3" s="134"/>
      <c r="E3" s="134"/>
      <c r="F3" s="134"/>
      <c r="G3" s="134"/>
      <c r="H3" s="401"/>
    </row>
    <row r="4" spans="1:15" s="135" customFormat="1" ht="24.75" customHeight="1" x14ac:dyDescent="0.5">
      <c r="A4" s="400" t="s">
        <v>36</v>
      </c>
      <c r="B4" s="134"/>
      <c r="C4" s="134"/>
      <c r="D4" s="134"/>
      <c r="E4" s="134"/>
      <c r="F4" s="134"/>
      <c r="G4" s="134"/>
      <c r="H4" s="401"/>
    </row>
    <row r="5" spans="1:15" s="135" customFormat="1" ht="24.75" customHeight="1" x14ac:dyDescent="0.3">
      <c r="A5" s="205" t="s">
        <v>166</v>
      </c>
      <c r="B5" s="136"/>
      <c r="C5" s="136"/>
      <c r="D5" s="136"/>
      <c r="E5" s="136"/>
      <c r="F5" s="136"/>
      <c r="G5" s="136"/>
      <c r="H5" s="206"/>
    </row>
    <row r="6" spans="1:15" customFormat="1" ht="34.5" customHeight="1" x14ac:dyDescent="0.3">
      <c r="A6" s="402" t="s">
        <v>167</v>
      </c>
      <c r="B6" s="142"/>
      <c r="C6" s="142"/>
      <c r="D6" s="142"/>
      <c r="E6" s="142"/>
      <c r="F6" s="142"/>
      <c r="G6" s="142"/>
      <c r="H6" s="403"/>
    </row>
    <row r="7" spans="1:15" customFormat="1" ht="6" customHeight="1" x14ac:dyDescent="0.5">
      <c r="A7" s="404"/>
      <c r="B7" s="138"/>
      <c r="C7" s="139"/>
      <c r="D7" s="139"/>
      <c r="E7" s="139"/>
      <c r="F7" s="140"/>
      <c r="G7" s="141"/>
      <c r="H7" s="405"/>
    </row>
    <row r="8" spans="1:15" customFormat="1" ht="26.25" customHeight="1" x14ac:dyDescent="0.3">
      <c r="A8" s="402" t="s">
        <v>37</v>
      </c>
      <c r="B8" s="142"/>
      <c r="C8" s="142"/>
      <c r="D8" s="142"/>
      <c r="E8" s="142"/>
      <c r="F8" s="142"/>
      <c r="G8" s="142"/>
      <c r="H8" s="403"/>
    </row>
    <row r="9" spans="1:15" ht="8.25" customHeight="1" thickBot="1" x14ac:dyDescent="0.5">
      <c r="A9" s="406"/>
      <c r="B9" s="128"/>
      <c r="C9" s="129"/>
      <c r="D9" s="130"/>
      <c r="E9" s="130"/>
      <c r="F9" s="131"/>
      <c r="G9" s="132"/>
      <c r="H9" s="407"/>
    </row>
    <row r="10" spans="1:15" ht="36" customHeight="1" thickBot="1" x14ac:dyDescent="0.3">
      <c r="A10" s="29" t="s">
        <v>0</v>
      </c>
      <c r="B10" s="27" t="s">
        <v>6</v>
      </c>
      <c r="C10" s="28" t="s">
        <v>22</v>
      </c>
      <c r="D10" s="29" t="s">
        <v>21</v>
      </c>
      <c r="E10" s="29" t="s">
        <v>1</v>
      </c>
      <c r="F10" s="29" t="s">
        <v>2</v>
      </c>
      <c r="G10" s="29" t="s">
        <v>3</v>
      </c>
      <c r="H10" s="29" t="s">
        <v>4</v>
      </c>
      <c r="M10" s="1" t="s">
        <v>7</v>
      </c>
      <c r="N10" s="1" t="s">
        <v>8</v>
      </c>
      <c r="O10" s="1" t="s">
        <v>9</v>
      </c>
    </row>
    <row r="11" spans="1:15" ht="10.5" customHeight="1" thickBot="1" x14ac:dyDescent="0.5">
      <c r="A11" s="406"/>
      <c r="B11" s="128"/>
      <c r="C11" s="129"/>
      <c r="D11" s="130"/>
      <c r="E11" s="130"/>
      <c r="F11" s="131"/>
      <c r="G11" s="132"/>
      <c r="H11" s="407"/>
      <c r="L11" s="1" t="s">
        <v>10</v>
      </c>
      <c r="M11" s="1">
        <f>39600+29750+38700+28500+45900+32300+96000+35000</f>
        <v>345750</v>
      </c>
      <c r="N11" s="1">
        <v>300000</v>
      </c>
      <c r="O11" s="1">
        <v>368000</v>
      </c>
    </row>
    <row r="12" spans="1:15" ht="25.8" thickBot="1" x14ac:dyDescent="0.5">
      <c r="A12" s="408">
        <v>1</v>
      </c>
      <c r="B12" s="409" t="s">
        <v>13</v>
      </c>
      <c r="C12" s="410"/>
      <c r="D12" s="411"/>
      <c r="E12" s="411"/>
      <c r="F12" s="412"/>
      <c r="G12" s="413"/>
      <c r="H12" s="408">
        <f>SUM(G13)</f>
        <v>0</v>
      </c>
      <c r="L12" s="1" t="s">
        <v>11</v>
      </c>
      <c r="M12" s="1">
        <f>62100+5520+11675+3500</f>
        <v>82795</v>
      </c>
      <c r="O12" s="1">
        <f>116000</f>
        <v>116000</v>
      </c>
    </row>
    <row r="13" spans="1:15" ht="50.4" x14ac:dyDescent="0.45">
      <c r="A13" s="414">
        <f>+A12+0.01</f>
        <v>1.01</v>
      </c>
      <c r="B13" s="415" t="s">
        <v>168</v>
      </c>
      <c r="C13" s="416"/>
      <c r="D13" s="417">
        <v>8</v>
      </c>
      <c r="E13" s="418" t="s">
        <v>12</v>
      </c>
      <c r="F13" s="362"/>
      <c r="G13" s="419">
        <f>+F13</f>
        <v>0</v>
      </c>
      <c r="H13" s="420"/>
      <c r="M13" s="1">
        <f>SUM(M12+M11)</f>
        <v>428545</v>
      </c>
      <c r="O13" s="1">
        <f>SUM(O11+O12)</f>
        <v>484000</v>
      </c>
    </row>
    <row r="14" spans="1:15" ht="50.4" x14ac:dyDescent="0.45">
      <c r="A14" s="414">
        <f>+A13+0.01</f>
        <v>1.02</v>
      </c>
      <c r="B14" s="415" t="s">
        <v>169</v>
      </c>
      <c r="C14" s="416"/>
      <c r="D14" s="417">
        <v>2</v>
      </c>
      <c r="E14" s="418" t="s">
        <v>12</v>
      </c>
      <c r="F14" s="365"/>
      <c r="G14" s="421"/>
      <c r="H14" s="422"/>
      <c r="M14" s="1">
        <f>SUM(M13+M12)</f>
        <v>511340</v>
      </c>
      <c r="O14" s="1">
        <f>SUM(O12+O13)</f>
        <v>600000</v>
      </c>
    </row>
    <row r="15" spans="1:15" ht="25.2" x14ac:dyDescent="0.45">
      <c r="A15" s="414">
        <f>+A14+0.01</f>
        <v>1.03</v>
      </c>
      <c r="B15" s="415" t="s">
        <v>170</v>
      </c>
      <c r="C15" s="416"/>
      <c r="D15" s="417">
        <v>178</v>
      </c>
      <c r="E15" s="418" t="s">
        <v>171</v>
      </c>
      <c r="F15" s="365"/>
      <c r="G15" s="421"/>
      <c r="H15" s="422"/>
    </row>
    <row r="16" spans="1:15" ht="25.2" x14ac:dyDescent="0.45">
      <c r="A16" s="414">
        <f t="shared" ref="A16" si="0">+A15+0.01</f>
        <v>1.04</v>
      </c>
      <c r="B16" s="423" t="s">
        <v>15</v>
      </c>
      <c r="C16" s="424">
        <f>117.17+(3.42*2.5)+(1.2*2.5)</f>
        <v>128.72</v>
      </c>
      <c r="D16" s="425">
        <v>130</v>
      </c>
      <c r="E16" s="426" t="s">
        <v>171</v>
      </c>
      <c r="F16" s="365"/>
      <c r="G16" s="421"/>
      <c r="H16" s="422"/>
    </row>
    <row r="17" spans="1:8" ht="50.25" customHeight="1" x14ac:dyDescent="0.45">
      <c r="A17" s="414">
        <f>+A16+0.01</f>
        <v>1.05</v>
      </c>
      <c r="B17" s="427" t="s">
        <v>172</v>
      </c>
      <c r="C17" s="428">
        <v>8</v>
      </c>
      <c r="D17" s="425">
        <v>8</v>
      </c>
      <c r="E17" s="99" t="s">
        <v>12</v>
      </c>
      <c r="F17" s="365"/>
      <c r="G17" s="421"/>
      <c r="H17" s="422"/>
    </row>
    <row r="18" spans="1:8" ht="50.4" x14ac:dyDescent="0.45">
      <c r="A18" s="414">
        <f t="shared" ref="A18:A19" si="1">+A17+0.01</f>
        <v>1.06</v>
      </c>
      <c r="B18" s="8" t="s">
        <v>173</v>
      </c>
      <c r="C18" s="428">
        <v>15</v>
      </c>
      <c r="D18" s="425">
        <v>15</v>
      </c>
      <c r="E18" s="429" t="s">
        <v>12</v>
      </c>
      <c r="F18" s="365"/>
      <c r="G18" s="421"/>
      <c r="H18" s="422"/>
    </row>
    <row r="19" spans="1:8" ht="50.4" x14ac:dyDescent="0.45">
      <c r="A19" s="414">
        <f t="shared" si="1"/>
        <v>1.07</v>
      </c>
      <c r="B19" s="8" t="s">
        <v>174</v>
      </c>
      <c r="C19" s="430">
        <v>26</v>
      </c>
      <c r="D19" s="425">
        <v>26</v>
      </c>
      <c r="E19" s="429" t="s">
        <v>12</v>
      </c>
      <c r="F19" s="109"/>
      <c r="G19" s="431"/>
      <c r="H19" s="432"/>
    </row>
    <row r="20" spans="1:8" ht="18" customHeight="1" thickBot="1" x14ac:dyDescent="0.5">
      <c r="A20" s="433"/>
      <c r="B20" s="434"/>
      <c r="C20" s="435"/>
      <c r="D20" s="436"/>
      <c r="E20" s="437"/>
      <c r="F20" s="437"/>
      <c r="G20" s="438" t="s">
        <v>72</v>
      </c>
      <c r="H20" s="439"/>
    </row>
    <row r="21" spans="1:8" ht="25.8" thickBot="1" x14ac:dyDescent="0.5">
      <c r="A21" s="440">
        <v>2</v>
      </c>
      <c r="B21" s="409" t="s">
        <v>175</v>
      </c>
      <c r="C21" s="410"/>
      <c r="D21" s="441"/>
      <c r="E21" s="411"/>
      <c r="F21" s="411"/>
      <c r="G21" s="442" t="s">
        <v>72</v>
      </c>
      <c r="H21" s="443">
        <f>SUM(G22)</f>
        <v>0</v>
      </c>
    </row>
    <row r="22" spans="1:8" ht="135.75" customHeight="1" x14ac:dyDescent="0.45">
      <c r="A22" s="144">
        <v>2.0099999999999998</v>
      </c>
      <c r="B22" s="444" t="s">
        <v>176</v>
      </c>
      <c r="C22" s="445">
        <f>+(5.14+2.36+2.36+1.28+2.01+2.6+1.16+3.93+2.95+2.95)*2.5</f>
        <v>66.849999999999994</v>
      </c>
      <c r="D22" s="417">
        <v>123</v>
      </c>
      <c r="E22" s="99" t="s">
        <v>171</v>
      </c>
      <c r="F22" s="143"/>
      <c r="G22" s="446">
        <f t="shared" ref="G22:G28" si="2">D22*F22</f>
        <v>0</v>
      </c>
      <c r="H22" s="447"/>
    </row>
    <row r="23" spans="1:8" ht="18" customHeight="1" thickBot="1" x14ac:dyDescent="0.5">
      <c r="A23" s="448"/>
      <c r="B23" s="449"/>
      <c r="C23" s="450"/>
      <c r="D23" s="436"/>
      <c r="E23" s="437"/>
      <c r="F23" s="448"/>
      <c r="G23" s="438"/>
      <c r="H23" s="448"/>
    </row>
    <row r="24" spans="1:8" ht="25.2" thickBot="1" x14ac:dyDescent="0.45">
      <c r="A24" s="408">
        <v>3</v>
      </c>
      <c r="B24" s="451" t="s">
        <v>177</v>
      </c>
      <c r="C24" s="410"/>
      <c r="D24" s="452"/>
      <c r="E24" s="453"/>
      <c r="F24" s="408"/>
      <c r="G24" s="454"/>
      <c r="H24" s="443">
        <f>SUM(G25:G28)</f>
        <v>0</v>
      </c>
    </row>
    <row r="25" spans="1:8" ht="112.5" customHeight="1" x14ac:dyDescent="0.45">
      <c r="A25" s="143">
        <f>+A24+0.01</f>
        <v>3.01</v>
      </c>
      <c r="B25" s="427" t="s">
        <v>178</v>
      </c>
      <c r="C25" s="445">
        <f>2.95*2.42*10.76</f>
        <v>76.815640000000002</v>
      </c>
      <c r="D25" s="417">
        <v>76.819999999999993</v>
      </c>
      <c r="E25" s="99" t="s">
        <v>140</v>
      </c>
      <c r="F25" s="143"/>
      <c r="G25" s="446">
        <f t="shared" si="2"/>
        <v>0</v>
      </c>
      <c r="H25" s="414"/>
    </row>
    <row r="26" spans="1:8" ht="112.5" customHeight="1" x14ac:dyDescent="0.45">
      <c r="A26" s="143">
        <f t="shared" ref="A26:A28" si="3">+A25+0.01</f>
        <v>3.0199999999999996</v>
      </c>
      <c r="B26" s="427" t="s">
        <v>179</v>
      </c>
      <c r="C26" s="445">
        <f>2.55*1.2*10.76*2</f>
        <v>65.851199999999992</v>
      </c>
      <c r="D26" s="417">
        <v>123.2</v>
      </c>
      <c r="E26" s="429" t="s">
        <v>140</v>
      </c>
      <c r="F26" s="143"/>
      <c r="G26" s="446">
        <f t="shared" si="2"/>
        <v>0</v>
      </c>
      <c r="H26" s="414"/>
    </row>
    <row r="27" spans="1:8" ht="77.25" customHeight="1" x14ac:dyDescent="0.45">
      <c r="A27" s="143">
        <f t="shared" si="3"/>
        <v>3.0299999999999994</v>
      </c>
      <c r="B27" s="427" t="s">
        <v>180</v>
      </c>
      <c r="C27" s="445">
        <v>2</v>
      </c>
      <c r="D27" s="417">
        <v>2</v>
      </c>
      <c r="E27" s="429" t="s">
        <v>12</v>
      </c>
      <c r="F27" s="143"/>
      <c r="G27" s="446">
        <f t="shared" si="2"/>
        <v>0</v>
      </c>
      <c r="H27" s="414"/>
    </row>
    <row r="28" spans="1:8" ht="90" customHeight="1" x14ac:dyDescent="0.45">
      <c r="A28" s="143">
        <f t="shared" si="3"/>
        <v>3.0399999999999991</v>
      </c>
      <c r="B28" s="427" t="s">
        <v>181</v>
      </c>
      <c r="C28" s="445">
        <v>4</v>
      </c>
      <c r="D28" s="417">
        <v>8</v>
      </c>
      <c r="E28" s="429" t="s">
        <v>12</v>
      </c>
      <c r="F28" s="143"/>
      <c r="G28" s="446">
        <f t="shared" si="2"/>
        <v>0</v>
      </c>
      <c r="H28" s="414"/>
    </row>
    <row r="29" spans="1:8" ht="25.8" thickBot="1" x14ac:dyDescent="0.5">
      <c r="A29" s="455"/>
      <c r="B29" s="8"/>
      <c r="C29" s="388"/>
      <c r="D29" s="429"/>
      <c r="E29" s="429"/>
      <c r="F29" s="455"/>
      <c r="G29" s="456"/>
      <c r="H29" s="455"/>
    </row>
    <row r="30" spans="1:8" ht="25.2" thickBot="1" x14ac:dyDescent="0.45">
      <c r="A30" s="408">
        <f>+A24+1</f>
        <v>4</v>
      </c>
      <c r="B30" s="451" t="s">
        <v>182</v>
      </c>
      <c r="C30" s="410"/>
      <c r="D30" s="453"/>
      <c r="E30" s="453"/>
      <c r="F30" s="408"/>
      <c r="G30" s="454"/>
      <c r="H30" s="443">
        <f>SUM(G31:G39)</f>
        <v>0</v>
      </c>
    </row>
    <row r="31" spans="1:8" s="10" customFormat="1" ht="137.25" customHeight="1" x14ac:dyDescent="0.3">
      <c r="A31" s="143">
        <f>+A30+0.01</f>
        <v>4.01</v>
      </c>
      <c r="B31" s="388" t="s">
        <v>183</v>
      </c>
      <c r="C31" s="388">
        <v>7</v>
      </c>
      <c r="D31" s="425">
        <v>9</v>
      </c>
      <c r="E31" s="429" t="s">
        <v>12</v>
      </c>
      <c r="F31" s="457"/>
      <c r="G31" s="458">
        <f t="shared" ref="G31:G41" si="4">D31*F31</f>
        <v>0</v>
      </c>
      <c r="H31" s="37"/>
    </row>
    <row r="32" spans="1:8" ht="56.25" hidden="1" customHeight="1" x14ac:dyDescent="0.45">
      <c r="A32" s="414"/>
      <c r="B32" s="8"/>
      <c r="C32" s="388"/>
      <c r="D32" s="425"/>
      <c r="E32" s="429"/>
      <c r="F32" s="457"/>
      <c r="G32" s="458"/>
      <c r="H32" s="455"/>
    </row>
    <row r="33" spans="1:8" ht="110.25" customHeight="1" x14ac:dyDescent="0.45">
      <c r="A33" s="414">
        <f>+A31+0.01</f>
        <v>4.0199999999999996</v>
      </c>
      <c r="B33" s="8" t="s">
        <v>184</v>
      </c>
      <c r="C33" s="388">
        <f>+C32+2</f>
        <v>2</v>
      </c>
      <c r="D33" s="425">
        <v>39</v>
      </c>
      <c r="E33" s="429" t="s">
        <v>12</v>
      </c>
      <c r="F33" s="457"/>
      <c r="G33" s="458">
        <f t="shared" si="4"/>
        <v>0</v>
      </c>
      <c r="H33" s="455"/>
    </row>
    <row r="34" spans="1:8" ht="61.5" customHeight="1" x14ac:dyDescent="0.45">
      <c r="A34" s="414">
        <f t="shared" ref="A34:A39" si="5">+A33+0.01</f>
        <v>4.0299999999999994</v>
      </c>
      <c r="B34" s="40" t="s">
        <v>185</v>
      </c>
      <c r="C34" s="388">
        <f>+C33+2</f>
        <v>4</v>
      </c>
      <c r="D34" s="425">
        <f>+D33</f>
        <v>39</v>
      </c>
      <c r="E34" s="429" t="s">
        <v>12</v>
      </c>
      <c r="F34" s="457"/>
      <c r="G34" s="458">
        <f t="shared" si="4"/>
        <v>0</v>
      </c>
      <c r="H34" s="455"/>
    </row>
    <row r="35" spans="1:8" s="10" customFormat="1" ht="50.4" x14ac:dyDescent="0.3">
      <c r="A35" s="143">
        <f>+A34+0.01</f>
        <v>4.0399999999999991</v>
      </c>
      <c r="B35" s="388" t="s">
        <v>186</v>
      </c>
      <c r="C35" s="388">
        <v>28</v>
      </c>
      <c r="D35" s="425">
        <v>28</v>
      </c>
      <c r="E35" s="429" t="s">
        <v>12</v>
      </c>
      <c r="F35" s="457"/>
      <c r="G35" s="458">
        <f t="shared" si="4"/>
        <v>0</v>
      </c>
      <c r="H35" s="37"/>
    </row>
    <row r="36" spans="1:8" ht="55.5" customHeight="1" x14ac:dyDescent="0.45">
      <c r="A36" s="414">
        <f t="shared" si="5"/>
        <v>4.0499999999999989</v>
      </c>
      <c r="B36" s="40" t="s">
        <v>187</v>
      </c>
      <c r="C36" s="388">
        <f>+C35+2</f>
        <v>30</v>
      </c>
      <c r="D36" s="425">
        <v>50</v>
      </c>
      <c r="E36" s="429" t="s">
        <v>12</v>
      </c>
      <c r="F36" s="457"/>
      <c r="G36" s="458">
        <f t="shared" si="4"/>
        <v>0</v>
      </c>
      <c r="H36" s="455"/>
    </row>
    <row r="37" spans="1:8" ht="50.4" x14ac:dyDescent="0.45">
      <c r="A37" s="414">
        <f t="shared" si="5"/>
        <v>4.0599999999999987</v>
      </c>
      <c r="B37" s="8" t="s">
        <v>188</v>
      </c>
      <c r="C37" s="388">
        <v>5</v>
      </c>
      <c r="D37" s="425">
        <v>5</v>
      </c>
      <c r="E37" s="429" t="s">
        <v>12</v>
      </c>
      <c r="F37" s="459"/>
      <c r="G37" s="460">
        <f t="shared" si="4"/>
        <v>0</v>
      </c>
      <c r="H37" s="455"/>
    </row>
    <row r="38" spans="1:8" ht="35.25" customHeight="1" x14ac:dyDescent="0.45">
      <c r="A38" s="414">
        <f t="shared" si="5"/>
        <v>4.0699999999999985</v>
      </c>
      <c r="B38" s="8" t="s">
        <v>189</v>
      </c>
      <c r="C38" s="388">
        <f>+(18+C35)*3</f>
        <v>138</v>
      </c>
      <c r="D38" s="425">
        <v>140</v>
      </c>
      <c r="E38" s="429" t="s">
        <v>12</v>
      </c>
      <c r="F38" s="459"/>
      <c r="G38" s="460">
        <f t="shared" si="4"/>
        <v>0</v>
      </c>
      <c r="H38" s="461"/>
    </row>
    <row r="39" spans="1:8" ht="52.5" customHeight="1" thickBot="1" x14ac:dyDescent="0.5">
      <c r="A39" s="462">
        <f t="shared" si="5"/>
        <v>4.0799999999999983</v>
      </c>
      <c r="B39" s="178" t="s">
        <v>190</v>
      </c>
      <c r="C39" s="435">
        <f>46-28</f>
        <v>18</v>
      </c>
      <c r="D39" s="436">
        <v>18</v>
      </c>
      <c r="E39" s="437" t="s">
        <v>12</v>
      </c>
      <c r="F39" s="463"/>
      <c r="G39" s="464">
        <f t="shared" si="4"/>
        <v>0</v>
      </c>
      <c r="H39" s="448"/>
    </row>
    <row r="40" spans="1:8" ht="25.8" thickBot="1" x14ac:dyDescent="0.5">
      <c r="A40" s="465">
        <f>+A30+1</f>
        <v>5</v>
      </c>
      <c r="B40" s="466" t="s">
        <v>16</v>
      </c>
      <c r="C40" s="467"/>
      <c r="D40" s="411"/>
      <c r="E40" s="411"/>
      <c r="F40" s="468"/>
      <c r="G40" s="469"/>
      <c r="H40" s="443">
        <f>SUM(G41)</f>
        <v>0</v>
      </c>
    </row>
    <row r="41" spans="1:8" s="10" customFormat="1" ht="47.25" customHeight="1" thickBot="1" x14ac:dyDescent="0.35">
      <c r="A41" s="470">
        <f>+A40+0.01</f>
        <v>5.01</v>
      </c>
      <c r="B41" s="471" t="s">
        <v>191</v>
      </c>
      <c r="C41" s="471">
        <f>(20.1+12.04+17.31+60.5+17.79+25.94+7.95)*2.5-((6*1.2*2.1)-(4*1.4*2.1)-(4*2.5*1.2))</f>
        <v>412.71499999999997</v>
      </c>
      <c r="D41" s="472">
        <v>420</v>
      </c>
      <c r="E41" s="473" t="s">
        <v>171</v>
      </c>
      <c r="F41" s="474"/>
      <c r="G41" s="475">
        <f t="shared" si="4"/>
        <v>0</v>
      </c>
      <c r="H41" s="476"/>
    </row>
    <row r="42" spans="1:8" ht="25.8" thickBot="1" x14ac:dyDescent="0.5">
      <c r="A42" s="465">
        <f>+A40+1</f>
        <v>6</v>
      </c>
      <c r="B42" s="466" t="s">
        <v>192</v>
      </c>
      <c r="C42" s="467"/>
      <c r="D42" s="411"/>
      <c r="E42" s="411"/>
      <c r="F42" s="468"/>
      <c r="G42" s="469"/>
      <c r="H42" s="443">
        <f>SUM(G43:G44)</f>
        <v>0</v>
      </c>
    </row>
    <row r="43" spans="1:8" s="10" customFormat="1" ht="55.5" customHeight="1" x14ac:dyDescent="0.3">
      <c r="A43" s="37">
        <f>+A42+0.01</f>
        <v>6.01</v>
      </c>
      <c r="B43" s="388" t="s">
        <v>193</v>
      </c>
      <c r="C43" s="388">
        <f>+((9.19*21.87)-(5.19*2.88)-(3.26*2.54))*1.05</f>
        <v>186.64558500000001</v>
      </c>
      <c r="D43" s="425">
        <v>187</v>
      </c>
      <c r="E43" s="429" t="s">
        <v>171</v>
      </c>
      <c r="F43" s="42"/>
      <c r="G43" s="458">
        <f>D43*F43</f>
        <v>0</v>
      </c>
      <c r="H43" s="37"/>
    </row>
    <row r="44" spans="1:8" s="10" customFormat="1" ht="54.75" customHeight="1" thickBot="1" x14ac:dyDescent="0.35">
      <c r="A44" s="37">
        <f t="shared" ref="A44" si="6">+A43+0.01</f>
        <v>6.02</v>
      </c>
      <c r="B44" s="388" t="s">
        <v>194</v>
      </c>
      <c r="C44" s="388">
        <f>+(20.1+12.04+17.37+60.5+17.79+25.94+17.95+2.9+2.9+2.9+2.9+2.9)-((6*1)-(4*1.4))*1.05</f>
        <v>185.77000000000004</v>
      </c>
      <c r="D44" s="425">
        <v>190</v>
      </c>
      <c r="E44" s="429" t="s">
        <v>18</v>
      </c>
      <c r="F44" s="42"/>
      <c r="G44" s="458">
        <f>D44*F44</f>
        <v>0</v>
      </c>
      <c r="H44" s="37"/>
    </row>
    <row r="45" spans="1:8" ht="25.8" thickBot="1" x14ac:dyDescent="0.5">
      <c r="A45" s="465">
        <v>7</v>
      </c>
      <c r="B45" s="466" t="s">
        <v>17</v>
      </c>
      <c r="C45" s="467"/>
      <c r="D45" s="411"/>
      <c r="E45" s="411"/>
      <c r="F45" s="468"/>
      <c r="G45" s="469"/>
      <c r="H45" s="443">
        <f>SUM(G46:G47)</f>
        <v>0</v>
      </c>
    </row>
    <row r="46" spans="1:8" s="10" customFormat="1" ht="43.5" customHeight="1" x14ac:dyDescent="0.3">
      <c r="A46" s="37">
        <f>+A45+0.01</f>
        <v>7.01</v>
      </c>
      <c r="B46" s="388" t="s">
        <v>195</v>
      </c>
      <c r="C46" s="388">
        <f>(1.42+8.63+79.56+16.73+7.17+7.96+18.62+26.9)*1.05</f>
        <v>175.33950000000002</v>
      </c>
      <c r="D46" s="425">
        <v>180</v>
      </c>
      <c r="E46" s="429" t="s">
        <v>171</v>
      </c>
      <c r="F46" s="145"/>
      <c r="G46" s="458">
        <f>D46*F46</f>
        <v>0</v>
      </c>
      <c r="H46" s="37"/>
    </row>
    <row r="47" spans="1:8" ht="83.25" customHeight="1" x14ac:dyDescent="0.45">
      <c r="A47" s="143">
        <f>+A46+0.01</f>
        <v>7.02</v>
      </c>
      <c r="B47" s="427" t="s">
        <v>196</v>
      </c>
      <c r="C47" s="428">
        <v>1</v>
      </c>
      <c r="D47" s="417">
        <v>1</v>
      </c>
      <c r="E47" s="99" t="s">
        <v>42</v>
      </c>
      <c r="F47" s="145"/>
      <c r="G47" s="477">
        <f t="shared" ref="G47" si="7">D47*F47</f>
        <v>0</v>
      </c>
      <c r="H47" s="414"/>
    </row>
    <row r="48" spans="1:8" ht="5.25" customHeight="1" thickBot="1" x14ac:dyDescent="0.5">
      <c r="A48" s="406"/>
      <c r="B48" s="478"/>
      <c r="C48" s="129"/>
      <c r="D48" s="130"/>
      <c r="E48" s="130"/>
      <c r="F48" s="479"/>
      <c r="G48" s="480"/>
      <c r="H48" s="481"/>
    </row>
    <row r="49" spans="1:8" ht="27" customHeight="1" thickBot="1" x14ac:dyDescent="0.5">
      <c r="A49" s="465"/>
      <c r="B49" s="482" t="s">
        <v>20</v>
      </c>
      <c r="C49" s="483"/>
      <c r="D49" s="484"/>
      <c r="E49" s="484"/>
      <c r="F49" s="485"/>
      <c r="G49" s="469"/>
      <c r="H49" s="443">
        <f>SUM(H12:H47)</f>
        <v>0</v>
      </c>
    </row>
    <row r="50" spans="1:8" ht="6" customHeight="1" thickBot="1" x14ac:dyDescent="0.5">
      <c r="A50" s="486"/>
      <c r="B50" s="487"/>
      <c r="C50" s="160"/>
      <c r="D50" s="130"/>
      <c r="E50" s="130"/>
      <c r="F50" s="479"/>
      <c r="G50" s="480"/>
      <c r="H50" s="481"/>
    </row>
    <row r="51" spans="1:8" ht="28.5" customHeight="1" thickBot="1" x14ac:dyDescent="0.5">
      <c r="A51" s="488"/>
      <c r="B51" s="489" t="s">
        <v>5</v>
      </c>
      <c r="C51" s="490"/>
      <c r="D51" s="491"/>
      <c r="E51" s="492"/>
      <c r="F51" s="493"/>
      <c r="G51" s="493"/>
      <c r="H51" s="494"/>
    </row>
    <row r="52" spans="1:8" customFormat="1" ht="31.5" customHeight="1" x14ac:dyDescent="0.45">
      <c r="A52" s="414"/>
      <c r="B52" s="427" t="s">
        <v>23</v>
      </c>
      <c r="C52" s="495">
        <v>0.02</v>
      </c>
      <c r="D52" s="495"/>
      <c r="E52" s="495"/>
      <c r="F52" s="496">
        <f>+C52*H49</f>
        <v>0</v>
      </c>
      <c r="G52" s="497"/>
      <c r="H52" s="498"/>
    </row>
    <row r="53" spans="1:8" customFormat="1" ht="25.2" x14ac:dyDescent="0.45">
      <c r="A53" s="455"/>
      <c r="B53" s="8" t="s">
        <v>24</v>
      </c>
      <c r="C53" s="499">
        <v>0.1</v>
      </c>
      <c r="D53" s="499"/>
      <c r="E53" s="499"/>
      <c r="F53" s="500">
        <f>+C53*H49</f>
        <v>0</v>
      </c>
      <c r="G53" s="501"/>
      <c r="H53" s="502"/>
    </row>
    <row r="54" spans="1:8" customFormat="1" ht="31.5" customHeight="1" x14ac:dyDescent="0.45">
      <c r="A54" s="455"/>
      <c r="B54" s="8" t="s">
        <v>25</v>
      </c>
      <c r="C54" s="499">
        <v>0.03</v>
      </c>
      <c r="D54" s="499"/>
      <c r="E54" s="499"/>
      <c r="F54" s="500">
        <f>+C54*H49</f>
        <v>0</v>
      </c>
      <c r="G54" s="501"/>
      <c r="H54" s="502"/>
    </row>
    <row r="55" spans="1:8" customFormat="1" ht="31.5" customHeight="1" x14ac:dyDescent="0.45">
      <c r="A55" s="455"/>
      <c r="B55" s="8" t="s">
        <v>26</v>
      </c>
      <c r="C55" s="499">
        <v>0.05</v>
      </c>
      <c r="D55" s="499"/>
      <c r="E55" s="499"/>
      <c r="F55" s="500">
        <f>+C55*H49</f>
        <v>0</v>
      </c>
      <c r="G55" s="501"/>
      <c r="H55" s="502"/>
    </row>
    <row r="56" spans="1:8" customFormat="1" ht="31.5" customHeight="1" x14ac:dyDescent="0.45">
      <c r="A56" s="455"/>
      <c r="B56" s="8" t="s">
        <v>27</v>
      </c>
      <c r="C56" s="499">
        <v>0.01</v>
      </c>
      <c r="D56" s="499"/>
      <c r="E56" s="499"/>
      <c r="F56" s="500">
        <f>+C56*H49</f>
        <v>0</v>
      </c>
      <c r="G56" s="501"/>
      <c r="H56" s="502"/>
    </row>
    <row r="57" spans="1:8" customFormat="1" ht="31.5" customHeight="1" x14ac:dyDescent="0.45">
      <c r="A57" s="455"/>
      <c r="B57" s="8" t="s">
        <v>28</v>
      </c>
      <c r="C57" s="499">
        <v>0.05</v>
      </c>
      <c r="D57" s="499"/>
      <c r="E57" s="499"/>
      <c r="F57" s="500">
        <f>+C57*H49</f>
        <v>0</v>
      </c>
      <c r="G57" s="501"/>
      <c r="H57" s="502"/>
    </row>
    <row r="58" spans="1:8" customFormat="1" ht="31.5" customHeight="1" x14ac:dyDescent="0.45">
      <c r="A58" s="455"/>
      <c r="B58" s="8" t="s">
        <v>29</v>
      </c>
      <c r="C58" s="503">
        <v>1E-3</v>
      </c>
      <c r="D58" s="503">
        <v>1E-4</v>
      </c>
      <c r="E58" s="503"/>
      <c r="F58" s="500">
        <f>+C58*H49</f>
        <v>0</v>
      </c>
      <c r="G58" s="501"/>
      <c r="H58" s="502"/>
    </row>
    <row r="59" spans="1:8" customFormat="1" ht="31.5" customHeight="1" thickBot="1" x14ac:dyDescent="0.5">
      <c r="A59" s="448"/>
      <c r="B59" s="178" t="s">
        <v>30</v>
      </c>
      <c r="C59" s="504">
        <v>0.18</v>
      </c>
      <c r="D59" s="504"/>
      <c r="E59" s="504"/>
      <c r="F59" s="500">
        <f>+C59*F53</f>
        <v>0</v>
      </c>
      <c r="G59" s="501"/>
      <c r="H59" s="502"/>
    </row>
    <row r="60" spans="1:8" s="10" customFormat="1" ht="33" customHeight="1" x14ac:dyDescent="0.3">
      <c r="A60" s="505"/>
      <c r="B60" s="506" t="s">
        <v>31</v>
      </c>
      <c r="C60" s="507"/>
      <c r="D60" s="508" t="s">
        <v>72</v>
      </c>
      <c r="E60" s="509"/>
      <c r="F60" s="510"/>
      <c r="G60" s="510"/>
      <c r="H60" s="511">
        <f>SUM(F52:F59)</f>
        <v>0</v>
      </c>
    </row>
    <row r="61" spans="1:8" ht="14.4" thickBot="1" x14ac:dyDescent="0.3"/>
    <row r="62" spans="1:8" s="10" customFormat="1" ht="36.75" customHeight="1" thickBot="1" x14ac:dyDescent="0.35">
      <c r="A62" s="512" t="s">
        <v>197</v>
      </c>
      <c r="B62" s="513"/>
      <c r="C62" s="513"/>
      <c r="D62" s="513"/>
      <c r="E62" s="513"/>
      <c r="F62" s="513"/>
      <c r="G62" s="514"/>
      <c r="H62" s="515">
        <f>+H60+H49</f>
        <v>0</v>
      </c>
    </row>
    <row r="63" spans="1:8" ht="30" customHeight="1" x14ac:dyDescent="0.25"/>
    <row r="64" spans="1:8" ht="30" customHeight="1" x14ac:dyDescent="0.25"/>
    <row r="65" spans="2:8" ht="30" customHeight="1" x14ac:dyDescent="0.25"/>
    <row r="66" spans="2:8" ht="30" customHeight="1" x14ac:dyDescent="0.25"/>
    <row r="67" spans="2:8" ht="30" customHeight="1" x14ac:dyDescent="0.25">
      <c r="B67" s="23"/>
      <c r="E67" s="386"/>
      <c r="F67" s="386"/>
      <c r="G67" s="386"/>
      <c r="H67" s="386"/>
    </row>
    <row r="68" spans="2:8" ht="30" customHeight="1" x14ac:dyDescent="0.5">
      <c r="B68" s="24" t="s">
        <v>32</v>
      </c>
      <c r="E68" s="101" t="s">
        <v>33</v>
      </c>
      <c r="F68" s="101"/>
      <c r="G68" s="101"/>
      <c r="H68" s="101"/>
    </row>
    <row r="69" spans="2:8" ht="30" customHeight="1" x14ac:dyDescent="0.25"/>
    <row r="70" spans="2:8" ht="30" customHeight="1" x14ac:dyDescent="0.25"/>
    <row r="71" spans="2:8" ht="30" customHeight="1" x14ac:dyDescent="0.25"/>
    <row r="72" spans="2:8" ht="30" customHeight="1" x14ac:dyDescent="0.25"/>
    <row r="73" spans="2:8" ht="30" customHeight="1" x14ac:dyDescent="0.25"/>
    <row r="74" spans="2:8" ht="30" customHeight="1" x14ac:dyDescent="0.25"/>
    <row r="75" spans="2:8" ht="30" customHeight="1" x14ac:dyDescent="0.25"/>
    <row r="76" spans="2:8" ht="30" customHeight="1" x14ac:dyDescent="0.25"/>
    <row r="77" spans="2:8" ht="30" customHeight="1" x14ac:dyDescent="0.25"/>
    <row r="78" spans="2:8" ht="30" customHeight="1" x14ac:dyDescent="0.25"/>
    <row r="79" spans="2:8" ht="30" customHeight="1" x14ac:dyDescent="0.25"/>
    <row r="80" spans="2:8" ht="30" customHeight="1" x14ac:dyDescent="0.25"/>
    <row r="81" ht="30" customHeight="1" x14ac:dyDescent="0.25"/>
    <row r="82" ht="30" customHeight="1" x14ac:dyDescent="0.25"/>
    <row r="83" ht="30" customHeight="1" x14ac:dyDescent="0.25"/>
  </sheetData>
  <mergeCells count="20">
    <mergeCell ref="E67:H67"/>
    <mergeCell ref="E68:H68"/>
    <mergeCell ref="C55:E55"/>
    <mergeCell ref="C56:E56"/>
    <mergeCell ref="C57:E57"/>
    <mergeCell ref="C58:E58"/>
    <mergeCell ref="C59:E59"/>
    <mergeCell ref="A62:G62"/>
    <mergeCell ref="F13:F19"/>
    <mergeCell ref="G13:G19"/>
    <mergeCell ref="H13:H19"/>
    <mergeCell ref="C52:E52"/>
    <mergeCell ref="C53:E53"/>
    <mergeCell ref="C54:E54"/>
    <mergeCell ref="A2:H2"/>
    <mergeCell ref="A3:H3"/>
    <mergeCell ref="A4:H4"/>
    <mergeCell ref="A5:H5"/>
    <mergeCell ref="A6:H6"/>
    <mergeCell ref="A8: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6915-31FD-4429-B074-4E8700C341F5}">
  <dimension ref="A1:N84"/>
  <sheetViews>
    <sheetView topLeftCell="A63" zoomScale="60" zoomScaleNormal="60" workbookViewId="0">
      <selection activeCell="B63" sqref="B63"/>
    </sheetView>
  </sheetViews>
  <sheetFormatPr baseColWidth="10" defaultRowHeight="21" x14ac:dyDescent="0.3"/>
  <cols>
    <col min="1" max="1" width="14.6640625" customWidth="1"/>
    <col min="2" max="2" width="59.6640625" customWidth="1"/>
    <col min="3" max="3" width="13.21875" customWidth="1"/>
    <col min="4" max="4" width="11.5546875" style="578"/>
    <col min="6" max="6" width="20.77734375" customWidth="1"/>
    <col min="7" max="7" width="23.5546875" customWidth="1"/>
    <col min="8" max="14" width="11.5546875" style="25"/>
  </cols>
  <sheetData>
    <row r="1" spans="1:7" s="20" customFormat="1" ht="25.2" x14ac:dyDescent="0.45">
      <c r="A1" s="521"/>
      <c r="B1" s="522"/>
      <c r="C1" s="524"/>
      <c r="D1" s="570"/>
      <c r="E1" s="525"/>
      <c r="F1" s="526"/>
      <c r="G1" s="527"/>
    </row>
    <row r="2" spans="1:7" s="516" customFormat="1" ht="25.8" x14ac:dyDescent="0.5">
      <c r="A2" s="203" t="s">
        <v>34</v>
      </c>
      <c r="B2" s="203"/>
      <c r="C2" s="203"/>
      <c r="D2" s="203"/>
      <c r="E2" s="203"/>
      <c r="F2" s="203"/>
      <c r="G2" s="203"/>
    </row>
    <row r="3" spans="1:7" s="516" customFormat="1" ht="25.8" x14ac:dyDescent="0.5">
      <c r="A3" s="203" t="s">
        <v>35</v>
      </c>
      <c r="B3" s="203"/>
      <c r="C3" s="203"/>
      <c r="D3" s="203"/>
      <c r="E3" s="203"/>
      <c r="F3" s="203"/>
      <c r="G3" s="203"/>
    </row>
    <row r="4" spans="1:7" s="516" customFormat="1" ht="25.8" x14ac:dyDescent="0.5">
      <c r="A4" s="203" t="s">
        <v>36</v>
      </c>
      <c r="B4" s="203"/>
      <c r="C4" s="203"/>
      <c r="D4" s="203"/>
      <c r="E4" s="203"/>
      <c r="F4" s="203"/>
      <c r="G4" s="203"/>
    </row>
    <row r="5" spans="1:7" s="516" customFormat="1" ht="52.8" customHeight="1" x14ac:dyDescent="0.35">
      <c r="A5" s="136" t="s">
        <v>225</v>
      </c>
      <c r="B5" s="136"/>
      <c r="C5" s="136"/>
      <c r="D5" s="136"/>
      <c r="E5" s="136"/>
      <c r="F5" s="136"/>
      <c r="G5" s="136"/>
    </row>
    <row r="6" spans="1:7" s="516" customFormat="1" ht="18" customHeight="1" x14ac:dyDescent="0.5">
      <c r="A6" s="528"/>
      <c r="B6" s="529"/>
      <c r="C6" s="530"/>
      <c r="D6" s="571"/>
      <c r="E6" s="531"/>
      <c r="F6" s="532"/>
      <c r="G6" s="531"/>
    </row>
    <row r="7" spans="1:7" s="516" customFormat="1" ht="25.8" x14ac:dyDescent="0.35">
      <c r="A7" s="211" t="s">
        <v>37</v>
      </c>
      <c r="B7" s="211"/>
      <c r="C7" s="211"/>
      <c r="D7" s="211"/>
      <c r="E7" s="211"/>
      <c r="F7" s="211"/>
      <c r="G7" s="211"/>
    </row>
    <row r="8" spans="1:7" s="516" customFormat="1" ht="7.8" customHeight="1" thickBot="1" x14ac:dyDescent="0.5">
      <c r="A8" s="521"/>
      <c r="B8" s="522"/>
      <c r="C8" s="524"/>
      <c r="D8" s="570"/>
      <c r="E8" s="525"/>
      <c r="F8" s="526"/>
      <c r="G8" s="527"/>
    </row>
    <row r="9" spans="1:7" s="519" customFormat="1" ht="31.2" customHeight="1" thickBot="1" x14ac:dyDescent="0.35">
      <c r="A9" s="564" t="s">
        <v>0</v>
      </c>
      <c r="B9" s="563" t="s">
        <v>6</v>
      </c>
      <c r="C9" s="563" t="s">
        <v>21</v>
      </c>
      <c r="D9" s="217" t="s">
        <v>1</v>
      </c>
      <c r="E9" s="563" t="s">
        <v>2</v>
      </c>
      <c r="F9" s="563" t="s">
        <v>3</v>
      </c>
      <c r="G9" s="579" t="s">
        <v>4</v>
      </c>
    </row>
    <row r="10" spans="1:7" s="517" customFormat="1" ht="3.6" customHeight="1" thickBot="1" x14ac:dyDescent="0.5">
      <c r="A10" s="535"/>
      <c r="B10" s="522"/>
      <c r="C10" s="524"/>
      <c r="D10" s="570"/>
      <c r="E10" s="525"/>
      <c r="F10" s="526"/>
      <c r="G10" s="580"/>
    </row>
    <row r="11" spans="1:7" s="569" customFormat="1" ht="24" thickBot="1" x14ac:dyDescent="0.5">
      <c r="A11" s="565">
        <v>1</v>
      </c>
      <c r="B11" s="566" t="s">
        <v>13</v>
      </c>
      <c r="C11" s="567"/>
      <c r="D11" s="568"/>
      <c r="E11" s="568"/>
      <c r="F11" s="568"/>
      <c r="G11" s="581">
        <f>SUM(F12:F21)</f>
        <v>0</v>
      </c>
    </row>
    <row r="12" spans="1:7" s="518" customFormat="1" ht="25.2" x14ac:dyDescent="0.3">
      <c r="A12" s="234">
        <f t="shared" ref="A12:A21" si="0">+A11+0.01</f>
        <v>1.01</v>
      </c>
      <c r="B12" s="336" t="s">
        <v>198</v>
      </c>
      <c r="C12" s="540">
        <f>[1]Hoja1!A8</f>
        <v>203.5</v>
      </c>
      <c r="D12" s="572" t="s">
        <v>223</v>
      </c>
      <c r="E12" s="257"/>
      <c r="F12" s="226">
        <f t="shared" ref="F12:F21" si="1">C12*E12</f>
        <v>0</v>
      </c>
      <c r="G12" s="582"/>
    </row>
    <row r="13" spans="1:7" s="518" customFormat="1" ht="50.4" x14ac:dyDescent="0.3">
      <c r="A13" s="234">
        <f t="shared" si="0"/>
        <v>1.02</v>
      </c>
      <c r="B13" s="336" t="s">
        <v>199</v>
      </c>
      <c r="C13" s="540">
        <v>7</v>
      </c>
      <c r="D13" s="572" t="s">
        <v>12</v>
      </c>
      <c r="E13" s="257"/>
      <c r="F13" s="226">
        <f t="shared" si="1"/>
        <v>0</v>
      </c>
      <c r="G13" s="583"/>
    </row>
    <row r="14" spans="1:7" s="518" customFormat="1" ht="25.2" x14ac:dyDescent="0.3">
      <c r="A14" s="234">
        <f t="shared" si="0"/>
        <v>1.03</v>
      </c>
      <c r="B14" s="72" t="s">
        <v>200</v>
      </c>
      <c r="C14" s="540">
        <v>18</v>
      </c>
      <c r="D14" s="572" t="s">
        <v>12</v>
      </c>
      <c r="E14" s="238"/>
      <c r="F14" s="226">
        <f t="shared" si="1"/>
        <v>0</v>
      </c>
      <c r="G14" s="583"/>
    </row>
    <row r="15" spans="1:7" s="518" customFormat="1" ht="25.2" x14ac:dyDescent="0.3">
      <c r="A15" s="234">
        <f t="shared" si="0"/>
        <v>1.04</v>
      </c>
      <c r="B15" s="72" t="s">
        <v>201</v>
      </c>
      <c r="C15" s="540">
        <v>10</v>
      </c>
      <c r="D15" s="572"/>
      <c r="E15" s="238"/>
      <c r="F15" s="226">
        <f t="shared" si="1"/>
        <v>0</v>
      </c>
      <c r="G15" s="583"/>
    </row>
    <row r="16" spans="1:7" s="518" customFormat="1" ht="100.8" x14ac:dyDescent="0.3">
      <c r="A16" s="234">
        <f t="shared" si="0"/>
        <v>1.05</v>
      </c>
      <c r="B16" s="72" t="s">
        <v>202</v>
      </c>
      <c r="C16" s="540">
        <v>2</v>
      </c>
      <c r="D16" s="572" t="s">
        <v>12</v>
      </c>
      <c r="E16" s="238"/>
      <c r="F16" s="226">
        <f t="shared" si="1"/>
        <v>0</v>
      </c>
      <c r="G16" s="583"/>
    </row>
    <row r="17" spans="1:7" s="518" customFormat="1" ht="50.4" x14ac:dyDescent="0.3">
      <c r="A17" s="234">
        <f t="shared" si="0"/>
        <v>1.06</v>
      </c>
      <c r="B17" s="72" t="s">
        <v>15</v>
      </c>
      <c r="C17" s="540">
        <f>[1]Hoja1!A4</f>
        <v>166.04359999999997</v>
      </c>
      <c r="D17" s="572" t="s">
        <v>223</v>
      </c>
      <c r="E17" s="238"/>
      <c r="F17" s="226">
        <f t="shared" si="1"/>
        <v>0</v>
      </c>
      <c r="G17" s="583"/>
    </row>
    <row r="18" spans="1:7" s="518" customFormat="1" ht="50.4" x14ac:dyDescent="0.3">
      <c r="A18" s="234">
        <f t="shared" si="0"/>
        <v>1.07</v>
      </c>
      <c r="B18" s="72" t="s">
        <v>203</v>
      </c>
      <c r="C18" s="540">
        <v>4</v>
      </c>
      <c r="D18" s="572" t="s">
        <v>12</v>
      </c>
      <c r="E18" s="238"/>
      <c r="F18" s="226">
        <f t="shared" si="1"/>
        <v>0</v>
      </c>
      <c r="G18" s="583"/>
    </row>
    <row r="19" spans="1:7" s="520" customFormat="1" ht="15.6" hidden="1" customHeight="1" x14ac:dyDescent="0.3">
      <c r="A19" s="234">
        <f t="shared" si="0"/>
        <v>1.08</v>
      </c>
      <c r="B19" s="72" t="s">
        <v>45</v>
      </c>
      <c r="C19" s="540">
        <f>24+16</f>
        <v>40</v>
      </c>
      <c r="D19" s="572" t="s">
        <v>12</v>
      </c>
      <c r="E19" s="238"/>
      <c r="F19" s="226">
        <f t="shared" si="1"/>
        <v>0</v>
      </c>
      <c r="G19" s="583"/>
    </row>
    <row r="20" spans="1:7" s="520" customFormat="1" ht="15.6" hidden="1" customHeight="1" x14ac:dyDescent="0.3">
      <c r="A20" s="234">
        <f t="shared" si="0"/>
        <v>1.0900000000000001</v>
      </c>
      <c r="B20" s="72" t="s">
        <v>46</v>
      </c>
      <c r="C20" s="540">
        <v>24</v>
      </c>
      <c r="D20" s="572" t="s">
        <v>12</v>
      </c>
      <c r="E20" s="238"/>
      <c r="F20" s="226">
        <f t="shared" si="1"/>
        <v>0</v>
      </c>
      <c r="G20" s="583"/>
    </row>
    <row r="21" spans="1:7" s="520" customFormat="1" ht="15.6" hidden="1" customHeight="1" x14ac:dyDescent="0.3">
      <c r="A21" s="234">
        <f t="shared" si="0"/>
        <v>1.1000000000000001</v>
      </c>
      <c r="B21" s="73" t="s">
        <v>14</v>
      </c>
      <c r="C21" s="541">
        <v>1</v>
      </c>
      <c r="D21" s="573" t="s">
        <v>42</v>
      </c>
      <c r="E21" s="238"/>
      <c r="F21" s="226">
        <f t="shared" si="1"/>
        <v>0</v>
      </c>
      <c r="G21" s="584"/>
    </row>
    <row r="22" spans="1:7" s="520" customFormat="1" ht="15.6" hidden="1" customHeight="1" x14ac:dyDescent="0.3">
      <c r="A22" s="313"/>
      <c r="B22" s="313"/>
      <c r="C22" s="313"/>
      <c r="D22" s="313"/>
      <c r="E22" s="313"/>
      <c r="F22" s="313"/>
      <c r="G22" s="314"/>
    </row>
    <row r="23" spans="1:7" s="520" customFormat="1" ht="15.6" hidden="1" customHeight="1" x14ac:dyDescent="0.35">
      <c r="A23" s="542">
        <v>2</v>
      </c>
      <c r="B23" s="543" t="s">
        <v>38</v>
      </c>
      <c r="C23" s="538"/>
      <c r="D23" s="539"/>
      <c r="E23" s="539"/>
      <c r="F23" s="539"/>
      <c r="G23" s="585">
        <f>SUM(F24:F25)</f>
        <v>0</v>
      </c>
    </row>
    <row r="24" spans="1:7" s="520" customFormat="1" ht="15.6" hidden="1" customHeight="1" x14ac:dyDescent="0.3">
      <c r="A24" s="234">
        <f t="shared" ref="A24:A26" si="2">+A23+0.01</f>
        <v>2.0099999999999998</v>
      </c>
      <c r="B24" s="146" t="s">
        <v>204</v>
      </c>
      <c r="C24" s="540">
        <f>[1]Hoja1!C13</f>
        <v>162.07599999999996</v>
      </c>
      <c r="D24" s="572" t="s">
        <v>223</v>
      </c>
      <c r="E24" s="257"/>
      <c r="F24" s="544">
        <f t="shared" ref="F24:F26" si="3">C24*E24</f>
        <v>0</v>
      </c>
      <c r="G24" s="586"/>
    </row>
    <row r="25" spans="1:7" s="520" customFormat="1" ht="15.6" hidden="1" customHeight="1" x14ac:dyDescent="0.3">
      <c r="A25" s="234">
        <f t="shared" si="2"/>
        <v>2.0199999999999996</v>
      </c>
      <c r="B25" s="146" t="s">
        <v>205</v>
      </c>
      <c r="C25" s="540">
        <f>[1]Hoja1!D16</f>
        <v>312</v>
      </c>
      <c r="D25" s="572" t="s">
        <v>224</v>
      </c>
      <c r="E25" s="257"/>
      <c r="F25" s="544">
        <f t="shared" si="3"/>
        <v>0</v>
      </c>
      <c r="G25" s="587"/>
    </row>
    <row r="26" spans="1:7" s="520" customFormat="1" ht="75.599999999999994" x14ac:dyDescent="0.3">
      <c r="A26" s="234">
        <f>+A18+0.01</f>
        <v>1.08</v>
      </c>
      <c r="B26" s="146" t="s">
        <v>206</v>
      </c>
      <c r="C26" s="540">
        <v>60</v>
      </c>
      <c r="D26" s="572" t="s">
        <v>223</v>
      </c>
      <c r="E26" s="257"/>
      <c r="F26" s="544">
        <f t="shared" si="3"/>
        <v>0</v>
      </c>
      <c r="G26" s="588"/>
    </row>
    <row r="27" spans="1:7" s="518" customFormat="1" ht="25.8" thickBot="1" x14ac:dyDescent="0.35">
      <c r="A27" s="260"/>
      <c r="B27" s="261"/>
      <c r="C27" s="261"/>
      <c r="D27" s="261"/>
      <c r="E27" s="261"/>
      <c r="F27" s="261"/>
      <c r="G27" s="262"/>
    </row>
    <row r="28" spans="1:7" s="518" customFormat="1" ht="25.8" thickBot="1" x14ac:dyDescent="0.35">
      <c r="A28" s="542">
        <v>2</v>
      </c>
      <c r="B28" s="543" t="s">
        <v>40</v>
      </c>
      <c r="C28" s="538"/>
      <c r="D28" s="539"/>
      <c r="E28" s="539"/>
      <c r="F28" s="539"/>
      <c r="G28" s="589">
        <f>SUM(F30:F30)</f>
        <v>0</v>
      </c>
    </row>
    <row r="29" spans="1:7" s="518" customFormat="1" ht="50.4" x14ac:dyDescent="0.3">
      <c r="A29" s="234">
        <f t="shared" ref="A29:A30" si="4">+A28+0.01</f>
        <v>2.0099999999999998</v>
      </c>
      <c r="B29" s="72" t="s">
        <v>48</v>
      </c>
      <c r="C29" s="540">
        <f>[1]Hoja1!A25</f>
        <v>119.20000000000002</v>
      </c>
      <c r="D29" s="572" t="s">
        <v>18</v>
      </c>
      <c r="E29" s="238"/>
      <c r="F29" s="226">
        <f t="shared" ref="F29:F30" si="5">C29*E29</f>
        <v>0</v>
      </c>
      <c r="G29" s="590"/>
    </row>
    <row r="30" spans="1:7" s="518" customFormat="1" ht="25.2" x14ac:dyDescent="0.3">
      <c r="A30" s="234">
        <f t="shared" si="4"/>
        <v>2.0199999999999996</v>
      </c>
      <c r="B30" s="72" t="s">
        <v>207</v>
      </c>
      <c r="C30" s="540">
        <f>C12</f>
        <v>203.5</v>
      </c>
      <c r="D30" s="572" t="s">
        <v>223</v>
      </c>
      <c r="E30" s="238"/>
      <c r="F30" s="226">
        <f t="shared" si="5"/>
        <v>0</v>
      </c>
      <c r="G30" s="591"/>
    </row>
    <row r="31" spans="1:7" s="518" customFormat="1" ht="25.8" thickBot="1" x14ac:dyDescent="0.35">
      <c r="A31" s="261"/>
      <c r="B31" s="261"/>
      <c r="C31" s="261"/>
      <c r="D31" s="261"/>
      <c r="E31" s="261"/>
      <c r="F31" s="261"/>
      <c r="G31" s="261"/>
    </row>
    <row r="32" spans="1:7" s="518" customFormat="1" ht="25.8" thickBot="1" x14ac:dyDescent="0.35">
      <c r="A32" s="537">
        <f>+A28+1</f>
        <v>3</v>
      </c>
      <c r="B32" s="543" t="s">
        <v>41</v>
      </c>
      <c r="C32" s="538"/>
      <c r="D32" s="539"/>
      <c r="E32" s="539"/>
      <c r="F32" s="539"/>
      <c r="G32" s="589">
        <f>SUM(F33:F34)</f>
        <v>0</v>
      </c>
    </row>
    <row r="33" spans="1:7" ht="50.4" x14ac:dyDescent="0.3">
      <c r="A33" s="234">
        <f>+A32+0.01</f>
        <v>3.01</v>
      </c>
      <c r="B33" s="154" t="s">
        <v>208</v>
      </c>
      <c r="C33" s="540">
        <f>C30</f>
        <v>203.5</v>
      </c>
      <c r="D33" s="572" t="s">
        <v>223</v>
      </c>
      <c r="E33" s="239"/>
      <c r="F33" s="226">
        <f t="shared" ref="F33" si="6">C33*E33</f>
        <v>0</v>
      </c>
      <c r="G33" s="592"/>
    </row>
    <row r="34" spans="1:7" ht="25.8" thickBot="1" x14ac:dyDescent="0.35">
      <c r="A34" s="261"/>
      <c r="B34" s="261"/>
      <c r="C34" s="261"/>
      <c r="D34" s="261"/>
      <c r="E34" s="261"/>
      <c r="F34" s="261"/>
      <c r="G34" s="261"/>
    </row>
    <row r="35" spans="1:7" ht="25.2" thickBot="1" x14ac:dyDescent="0.35">
      <c r="A35" s="545">
        <v>4</v>
      </c>
      <c r="B35" s="546" t="s">
        <v>209</v>
      </c>
      <c r="C35" s="547"/>
      <c r="D35" s="547"/>
      <c r="E35" s="547"/>
      <c r="F35" s="547"/>
      <c r="G35" s="585">
        <f>SUM(F36:F37)</f>
        <v>0</v>
      </c>
    </row>
    <row r="36" spans="1:7" ht="50.4" x14ac:dyDescent="0.3">
      <c r="A36" s="283">
        <f>+A35+0.01</f>
        <v>4.01</v>
      </c>
      <c r="B36" s="154" t="s">
        <v>210</v>
      </c>
      <c r="C36" s="548">
        <v>10</v>
      </c>
      <c r="D36" s="574" t="s">
        <v>12</v>
      </c>
      <c r="E36" s="549"/>
      <c r="F36" s="226">
        <f t="shared" ref="F36:F39" si="7">C36*E36</f>
        <v>0</v>
      </c>
      <c r="G36" s="593"/>
    </row>
    <row r="37" spans="1:7" ht="50.4" x14ac:dyDescent="0.3">
      <c r="A37" s="283">
        <f>+A36+0.01</f>
        <v>4.0199999999999996</v>
      </c>
      <c r="B37" s="154" t="s">
        <v>211</v>
      </c>
      <c r="C37" s="541">
        <v>2</v>
      </c>
      <c r="D37" s="573" t="s">
        <v>12</v>
      </c>
      <c r="E37" s="251"/>
      <c r="F37" s="550">
        <f t="shared" si="7"/>
        <v>0</v>
      </c>
      <c r="G37" s="593"/>
    </row>
    <row r="38" spans="1:7" ht="75.599999999999994" x14ac:dyDescent="0.3">
      <c r="A38" s="283">
        <f t="shared" ref="A38:A39" si="8">+A37+0.01</f>
        <v>4.0299999999999994</v>
      </c>
      <c r="B38" s="154" t="s">
        <v>212</v>
      </c>
      <c r="C38" s="541">
        <v>1</v>
      </c>
      <c r="D38" s="573" t="s">
        <v>12</v>
      </c>
      <c r="E38" s="251"/>
      <c r="F38" s="550">
        <f t="shared" si="7"/>
        <v>0</v>
      </c>
      <c r="G38" s="593"/>
    </row>
    <row r="39" spans="1:7" ht="75.599999999999994" x14ac:dyDescent="0.3">
      <c r="A39" s="283">
        <f t="shared" si="8"/>
        <v>4.0399999999999991</v>
      </c>
      <c r="B39" s="154" t="s">
        <v>213</v>
      </c>
      <c r="C39" s="541">
        <v>2</v>
      </c>
      <c r="D39" s="573" t="s">
        <v>12</v>
      </c>
      <c r="E39" s="251"/>
      <c r="F39" s="550">
        <f t="shared" si="7"/>
        <v>0</v>
      </c>
      <c r="G39" s="593"/>
    </row>
    <row r="40" spans="1:7" ht="25.8" thickBot="1" x14ac:dyDescent="0.35">
      <c r="A40" s="521"/>
      <c r="B40" s="267"/>
      <c r="C40" s="243"/>
      <c r="D40" s="570"/>
      <c r="E40" s="551"/>
      <c r="F40" s="244"/>
      <c r="G40" s="243"/>
    </row>
    <row r="41" spans="1:7" ht="25.2" thickBot="1" x14ac:dyDescent="0.35">
      <c r="A41" s="537">
        <v>5</v>
      </c>
      <c r="B41" s="546" t="s">
        <v>16</v>
      </c>
      <c r="C41" s="547"/>
      <c r="D41" s="547"/>
      <c r="E41" s="547"/>
      <c r="F41" s="547"/>
      <c r="G41" s="589">
        <f>SUM(F42:F43)</f>
        <v>0</v>
      </c>
    </row>
    <row r="42" spans="1:7" ht="75.599999999999994" x14ac:dyDescent="0.3">
      <c r="A42" s="234">
        <f>+A41+0.01</f>
        <v>5.01</v>
      </c>
      <c r="B42" s="154" t="s">
        <v>47</v>
      </c>
      <c r="C42" s="540">
        <f>[1]Hoja1!F19</f>
        <v>424.86140000000006</v>
      </c>
      <c r="D42" s="572" t="s">
        <v>223</v>
      </c>
      <c r="E42" s="239"/>
      <c r="F42" s="226">
        <f t="shared" ref="F42" si="9">C42*E42</f>
        <v>0</v>
      </c>
      <c r="G42" s="592"/>
    </row>
    <row r="43" spans="1:7" ht="25.8" thickBot="1" x14ac:dyDescent="0.35">
      <c r="A43" s="552"/>
      <c r="B43" s="313"/>
      <c r="C43" s="313"/>
      <c r="D43" s="313"/>
      <c r="E43" s="313"/>
      <c r="F43" s="313"/>
      <c r="G43" s="314"/>
    </row>
    <row r="44" spans="1:7" ht="25.2" thickBot="1" x14ac:dyDescent="0.35">
      <c r="A44" s="537">
        <v>6</v>
      </c>
      <c r="B44" s="546" t="s">
        <v>43</v>
      </c>
      <c r="C44" s="547"/>
      <c r="D44" s="547"/>
      <c r="E44" s="547"/>
      <c r="F44" s="547"/>
      <c r="G44" s="589">
        <f>SUM(F45:F55)</f>
        <v>0</v>
      </c>
    </row>
    <row r="45" spans="1:7" ht="75.599999999999994" x14ac:dyDescent="0.3">
      <c r="A45" s="234">
        <f>+A44+0.01</f>
        <v>6.01</v>
      </c>
      <c r="B45" s="154" t="s">
        <v>214</v>
      </c>
      <c r="C45" s="540">
        <v>19</v>
      </c>
      <c r="D45" s="574" t="s">
        <v>12</v>
      </c>
      <c r="E45" s="239"/>
      <c r="F45" s="226">
        <f t="shared" ref="F45:F55" si="10">C45*E45</f>
        <v>0</v>
      </c>
      <c r="G45" s="594"/>
    </row>
    <row r="46" spans="1:7" ht="75.599999999999994" x14ac:dyDescent="0.3">
      <c r="A46" s="234">
        <f>+A45+0.01</f>
        <v>6.02</v>
      </c>
      <c r="B46" s="154" t="s">
        <v>215</v>
      </c>
      <c r="C46" s="540">
        <v>18</v>
      </c>
      <c r="D46" s="574" t="s">
        <v>12</v>
      </c>
      <c r="E46" s="239"/>
      <c r="F46" s="226">
        <f t="shared" si="10"/>
        <v>0</v>
      </c>
      <c r="G46" s="595"/>
    </row>
    <row r="47" spans="1:7" ht="75.599999999999994" x14ac:dyDescent="0.3">
      <c r="A47" s="234">
        <f t="shared" ref="A47:A55" si="11">+A46+0.01</f>
        <v>6.0299999999999994</v>
      </c>
      <c r="B47" s="154" t="s">
        <v>216</v>
      </c>
      <c r="C47" s="540">
        <v>10</v>
      </c>
      <c r="D47" s="574" t="s">
        <v>12</v>
      </c>
      <c r="E47" s="239"/>
      <c r="F47" s="226">
        <f t="shared" si="10"/>
        <v>0</v>
      </c>
      <c r="G47" s="595"/>
    </row>
    <row r="48" spans="1:7" ht="50.4" x14ac:dyDescent="0.3">
      <c r="A48" s="234">
        <f t="shared" si="11"/>
        <v>6.0399999999999991</v>
      </c>
      <c r="B48" s="73" t="s">
        <v>68</v>
      </c>
      <c r="C48" s="541">
        <v>12</v>
      </c>
      <c r="D48" s="574" t="s">
        <v>12</v>
      </c>
      <c r="E48" s="251"/>
      <c r="F48" s="226">
        <f t="shared" si="10"/>
        <v>0</v>
      </c>
      <c r="G48" s="595"/>
    </row>
    <row r="49" spans="1:14" ht="50.4" x14ac:dyDescent="0.3">
      <c r="A49" s="234">
        <f t="shared" si="11"/>
        <v>6.0499999999999989</v>
      </c>
      <c r="B49" s="73" t="s">
        <v>217</v>
      </c>
      <c r="C49" s="541">
        <v>2</v>
      </c>
      <c r="D49" s="573" t="s">
        <v>12</v>
      </c>
      <c r="E49" s="251"/>
      <c r="F49" s="226">
        <f t="shared" si="10"/>
        <v>0</v>
      </c>
      <c r="G49" s="595"/>
    </row>
    <row r="50" spans="1:14" ht="50.4" x14ac:dyDescent="0.3">
      <c r="A50" s="234">
        <f t="shared" si="11"/>
        <v>6.0599999999999987</v>
      </c>
      <c r="B50" s="73" t="s">
        <v>218</v>
      </c>
      <c r="C50" s="541">
        <v>23</v>
      </c>
      <c r="D50" s="573" t="s">
        <v>12</v>
      </c>
      <c r="E50" s="251"/>
      <c r="F50" s="226">
        <f t="shared" si="10"/>
        <v>0</v>
      </c>
      <c r="G50" s="595"/>
    </row>
    <row r="51" spans="1:14" ht="50.4" x14ac:dyDescent="0.3">
      <c r="A51" s="234">
        <f t="shared" si="11"/>
        <v>6.0699999999999985</v>
      </c>
      <c r="B51" s="73" t="s">
        <v>219</v>
      </c>
      <c r="C51" s="541">
        <v>30</v>
      </c>
      <c r="D51" s="573" t="s">
        <v>12</v>
      </c>
      <c r="E51" s="251"/>
      <c r="F51" s="226">
        <f t="shared" si="10"/>
        <v>0</v>
      </c>
      <c r="G51" s="595"/>
    </row>
    <row r="52" spans="1:14" ht="75.599999999999994" x14ac:dyDescent="0.3">
      <c r="A52" s="234">
        <f t="shared" si="11"/>
        <v>6.0799999999999983</v>
      </c>
      <c r="B52" s="73" t="s">
        <v>220</v>
      </c>
      <c r="C52" s="541">
        <v>16</v>
      </c>
      <c r="D52" s="573" t="s">
        <v>12</v>
      </c>
      <c r="E52" s="251"/>
      <c r="F52" s="226">
        <f t="shared" si="10"/>
        <v>0</v>
      </c>
      <c r="G52" s="595"/>
    </row>
    <row r="53" spans="1:14" ht="75.599999999999994" x14ac:dyDescent="0.3">
      <c r="A53" s="234">
        <f t="shared" si="11"/>
        <v>6.0899999999999981</v>
      </c>
      <c r="B53" s="73" t="s">
        <v>185</v>
      </c>
      <c r="C53" s="541">
        <v>37</v>
      </c>
      <c r="D53" s="573" t="s">
        <v>12</v>
      </c>
      <c r="E53" s="251"/>
      <c r="F53" s="226">
        <f t="shared" si="10"/>
        <v>0</v>
      </c>
      <c r="G53" s="595"/>
    </row>
    <row r="54" spans="1:14" ht="25.2" x14ac:dyDescent="0.3">
      <c r="A54" s="234">
        <f t="shared" si="11"/>
        <v>6.0999999999999979</v>
      </c>
      <c r="B54" s="73" t="s">
        <v>221</v>
      </c>
      <c r="C54" s="541">
        <v>23</v>
      </c>
      <c r="D54" s="573" t="s">
        <v>12</v>
      </c>
      <c r="E54" s="251"/>
      <c r="F54" s="226">
        <f t="shared" si="10"/>
        <v>0</v>
      </c>
      <c r="G54" s="595"/>
    </row>
    <row r="55" spans="1:14" ht="50.4" x14ac:dyDescent="0.3">
      <c r="A55" s="234">
        <f t="shared" si="11"/>
        <v>6.1099999999999977</v>
      </c>
      <c r="B55" s="73" t="s">
        <v>187</v>
      </c>
      <c r="C55" s="541">
        <v>30</v>
      </c>
      <c r="D55" s="573" t="s">
        <v>12</v>
      </c>
      <c r="E55" s="251"/>
      <c r="F55" s="550">
        <f t="shared" si="10"/>
        <v>0</v>
      </c>
      <c r="G55" s="596"/>
    </row>
    <row r="56" spans="1:14" ht="15.6" customHeight="1" thickBot="1" x14ac:dyDescent="0.35">
      <c r="A56" s="521"/>
      <c r="B56" s="267"/>
      <c r="C56" s="243"/>
      <c r="D56" s="570"/>
      <c r="E56" s="551"/>
      <c r="F56" s="244"/>
      <c r="G56" s="243"/>
    </row>
    <row r="57" spans="1:14" ht="25.8" thickBot="1" x14ac:dyDescent="0.35">
      <c r="A57" s="537">
        <v>7</v>
      </c>
      <c r="B57" s="543" t="s">
        <v>17</v>
      </c>
      <c r="C57" s="538"/>
      <c r="D57" s="539"/>
      <c r="E57" s="539"/>
      <c r="F57" s="539"/>
      <c r="G57" s="589">
        <f>SUM(F58)</f>
        <v>0</v>
      </c>
    </row>
    <row r="58" spans="1:14" ht="25.2" x14ac:dyDescent="0.3">
      <c r="A58" s="234">
        <f>+A57+0.01</f>
        <v>7.01</v>
      </c>
      <c r="B58" s="154" t="s">
        <v>44</v>
      </c>
      <c r="C58" s="540">
        <v>1</v>
      </c>
      <c r="D58" s="574" t="s">
        <v>19</v>
      </c>
      <c r="E58" s="239"/>
      <c r="F58" s="226">
        <f>C58*E58</f>
        <v>0</v>
      </c>
      <c r="G58" s="592"/>
    </row>
    <row r="59" spans="1:14" ht="11.4" customHeight="1" thickBot="1" x14ac:dyDescent="0.35">
      <c r="A59" s="553"/>
      <c r="B59" s="553"/>
      <c r="C59" s="553"/>
      <c r="D59" s="553"/>
      <c r="E59" s="553"/>
      <c r="F59" s="553"/>
      <c r="G59" s="553"/>
    </row>
    <row r="60" spans="1:14" ht="25.8" thickBot="1" x14ac:dyDescent="0.5">
      <c r="A60" s="554"/>
      <c r="B60" s="555" t="s">
        <v>20</v>
      </c>
      <c r="C60" s="555"/>
      <c r="D60" s="575"/>
      <c r="E60" s="555"/>
      <c r="F60" s="556"/>
      <c r="G60" s="597">
        <f>SUM(G57,G44,G41,G35,G32,G28,G23,G11)</f>
        <v>0</v>
      </c>
    </row>
    <row r="61" spans="1:14" ht="11.4" customHeight="1" x14ac:dyDescent="0.3">
      <c r="A61" s="557"/>
      <c r="B61" s="558"/>
      <c r="C61" s="558"/>
      <c r="D61" s="576"/>
      <c r="E61" s="558"/>
      <c r="F61" s="558"/>
      <c r="G61" s="558"/>
    </row>
    <row r="62" spans="1:14" s="1" customFormat="1" ht="30" customHeight="1" x14ac:dyDescent="0.45">
      <c r="A62" s="37"/>
      <c r="B62" s="61" t="s">
        <v>5</v>
      </c>
      <c r="C62" s="174"/>
      <c r="D62" s="174"/>
      <c r="E62" s="174"/>
      <c r="F62" s="8"/>
      <c r="G62" s="598"/>
      <c r="H62" s="600"/>
      <c r="I62" s="600"/>
      <c r="J62" s="600"/>
      <c r="K62" s="11"/>
      <c r="L62" s="11"/>
      <c r="M62" s="11"/>
      <c r="N62" s="11"/>
    </row>
    <row r="63" spans="1:14" s="1" customFormat="1" ht="30" customHeight="1" x14ac:dyDescent="0.45">
      <c r="A63" s="37"/>
      <c r="B63" s="8" t="s">
        <v>23</v>
      </c>
      <c r="C63" s="175">
        <v>0.02</v>
      </c>
      <c r="D63" s="175"/>
      <c r="E63" s="175"/>
      <c r="F63" s="8">
        <f>C63*H$69</f>
        <v>0</v>
      </c>
      <c r="G63" s="598"/>
      <c r="H63" s="600"/>
      <c r="I63" s="600"/>
      <c r="J63" s="600"/>
      <c r="K63" s="11"/>
      <c r="L63" s="11"/>
      <c r="M63" s="11"/>
      <c r="N63" s="11"/>
    </row>
    <row r="64" spans="1:14" s="1" customFormat="1" ht="30" customHeight="1" x14ac:dyDescent="0.45">
      <c r="A64" s="37"/>
      <c r="B64" s="8" t="s">
        <v>71</v>
      </c>
      <c r="C64" s="175">
        <v>0.1</v>
      </c>
      <c r="D64" s="175"/>
      <c r="E64" s="175"/>
      <c r="F64" s="8">
        <f t="shared" ref="F64:F69" si="12">C64*H$69</f>
        <v>0</v>
      </c>
      <c r="G64" s="598"/>
      <c r="H64" s="600"/>
      <c r="I64" s="600"/>
      <c r="J64" s="600"/>
      <c r="K64" s="11"/>
      <c r="L64" s="11"/>
      <c r="M64" s="11"/>
      <c r="N64" s="11"/>
    </row>
    <row r="65" spans="1:14" s="1" customFormat="1" ht="30" customHeight="1" x14ac:dyDescent="0.45">
      <c r="A65" s="37"/>
      <c r="B65" s="8" t="s">
        <v>25</v>
      </c>
      <c r="C65" s="175">
        <v>1.4999999999999999E-2</v>
      </c>
      <c r="D65" s="175"/>
      <c r="E65" s="175"/>
      <c r="F65" s="8">
        <f t="shared" si="12"/>
        <v>0</v>
      </c>
      <c r="G65" s="598"/>
      <c r="H65" s="600"/>
      <c r="I65" s="600"/>
      <c r="J65" s="600"/>
      <c r="K65" s="11"/>
      <c r="L65" s="11"/>
      <c r="M65" s="11"/>
      <c r="N65" s="11"/>
    </row>
    <row r="66" spans="1:14" s="1" customFormat="1" ht="30" customHeight="1" x14ac:dyDescent="0.45">
      <c r="A66" s="37"/>
      <c r="B66" s="8" t="s">
        <v>26</v>
      </c>
      <c r="C66" s="175">
        <v>0.05</v>
      </c>
      <c r="D66" s="175"/>
      <c r="E66" s="175"/>
      <c r="F66" s="8">
        <f t="shared" si="12"/>
        <v>0</v>
      </c>
      <c r="G66" s="598"/>
      <c r="H66" s="600"/>
      <c r="I66" s="600"/>
      <c r="J66" s="600"/>
      <c r="K66" s="11"/>
      <c r="L66" s="11"/>
      <c r="M66" s="11"/>
      <c r="N66" s="11"/>
    </row>
    <row r="67" spans="1:14" s="1" customFormat="1" ht="30" customHeight="1" x14ac:dyDescent="0.45">
      <c r="A67" s="37"/>
      <c r="B67" s="8" t="s">
        <v>27</v>
      </c>
      <c r="C67" s="175">
        <v>0.01</v>
      </c>
      <c r="D67" s="175"/>
      <c r="E67" s="175"/>
      <c r="F67" s="8">
        <f t="shared" si="12"/>
        <v>0</v>
      </c>
      <c r="G67" s="598"/>
      <c r="H67" s="600"/>
      <c r="I67" s="600"/>
      <c r="J67" s="600"/>
      <c r="K67" s="11"/>
      <c r="L67" s="11"/>
      <c r="M67" s="11"/>
      <c r="N67" s="11"/>
    </row>
    <row r="68" spans="1:14" s="1" customFormat="1" ht="30" customHeight="1" x14ac:dyDescent="0.45">
      <c r="A68" s="37"/>
      <c r="B68" s="8" t="s">
        <v>28</v>
      </c>
      <c r="C68" s="175">
        <v>0</v>
      </c>
      <c r="D68" s="175">
        <v>1E-4</v>
      </c>
      <c r="E68" s="175"/>
      <c r="F68" s="8">
        <f t="shared" si="12"/>
        <v>0</v>
      </c>
      <c r="G68" s="598"/>
      <c r="H68" s="600"/>
      <c r="I68" s="600"/>
      <c r="J68" s="600"/>
      <c r="K68" s="11"/>
      <c r="L68" s="11"/>
      <c r="M68" s="11"/>
      <c r="N68" s="11"/>
    </row>
    <row r="69" spans="1:14" s="1" customFormat="1" ht="30" customHeight="1" x14ac:dyDescent="0.45">
      <c r="A69" s="37"/>
      <c r="B69" s="8" t="s">
        <v>29</v>
      </c>
      <c r="C69" s="176">
        <v>1E-3</v>
      </c>
      <c r="D69" s="176"/>
      <c r="E69" s="176"/>
      <c r="F69" s="8">
        <f t="shared" si="12"/>
        <v>0</v>
      </c>
      <c r="G69" s="598"/>
      <c r="H69" s="600"/>
      <c r="I69" s="600"/>
      <c r="J69" s="600"/>
      <c r="K69" s="11"/>
      <c r="L69" s="11"/>
      <c r="M69" s="11"/>
      <c r="N69" s="11"/>
    </row>
    <row r="70" spans="1:14" s="1" customFormat="1" ht="30" customHeight="1" thickBot="1" x14ac:dyDescent="0.5">
      <c r="A70" s="177"/>
      <c r="B70" s="178" t="s">
        <v>30</v>
      </c>
      <c r="C70" s="179"/>
      <c r="D70" s="180" t="s">
        <v>72</v>
      </c>
      <c r="E70" s="180"/>
      <c r="F70" s="178">
        <f>0.18*F64</f>
        <v>0</v>
      </c>
      <c r="G70" s="599"/>
      <c r="H70" s="600"/>
      <c r="I70" s="600"/>
      <c r="J70" s="11"/>
      <c r="K70" s="11"/>
      <c r="L70" s="11"/>
      <c r="M70" s="11"/>
      <c r="N70" s="11"/>
    </row>
    <row r="71" spans="1:14" ht="50.4" thickBot="1" x14ac:dyDescent="0.5">
      <c r="A71" s="554"/>
      <c r="B71" s="555" t="s">
        <v>31</v>
      </c>
      <c r="C71" s="555"/>
      <c r="D71" s="575"/>
      <c r="E71" s="555"/>
      <c r="F71" s="556"/>
      <c r="G71" s="597">
        <f>SUM(E63:E70)</f>
        <v>0</v>
      </c>
    </row>
    <row r="72" spans="1:14" s="608" customFormat="1" ht="29.4" thickBot="1" x14ac:dyDescent="0.6">
      <c r="A72" s="601"/>
      <c r="B72" s="602" t="s">
        <v>222</v>
      </c>
      <c r="C72" s="601"/>
      <c r="D72" s="603"/>
      <c r="E72" s="604"/>
      <c r="F72" s="605">
        <f>SUM(G60:G71)</f>
        <v>0</v>
      </c>
      <c r="G72" s="606"/>
      <c r="H72" s="607"/>
      <c r="I72" s="607"/>
      <c r="J72" s="607"/>
      <c r="K72" s="607"/>
      <c r="L72" s="607"/>
      <c r="M72" s="607"/>
      <c r="N72" s="607"/>
    </row>
    <row r="73" spans="1:14" ht="21.6" thickTop="1" x14ac:dyDescent="0.3">
      <c r="A73" s="559"/>
      <c r="B73" s="304"/>
      <c r="C73" s="306"/>
      <c r="D73" s="570"/>
      <c r="E73" s="307"/>
      <c r="F73" s="228"/>
      <c r="G73" s="560"/>
    </row>
    <row r="74" spans="1:14" x14ac:dyDescent="0.3">
      <c r="A74" s="559"/>
      <c r="B74" s="304"/>
      <c r="C74" s="306"/>
      <c r="D74" s="570"/>
      <c r="E74" s="307"/>
      <c r="F74" s="228"/>
      <c r="G74" s="560"/>
    </row>
    <row r="75" spans="1:14" ht="15.6" x14ac:dyDescent="0.3">
      <c r="A75" s="10"/>
      <c r="B75" s="561" t="s">
        <v>163</v>
      </c>
      <c r="C75" s="561"/>
      <c r="D75" s="561"/>
      <c r="E75" s="561"/>
      <c r="F75" s="561"/>
      <c r="G75" s="561"/>
    </row>
    <row r="76" spans="1:14" ht="15.6" x14ac:dyDescent="0.3">
      <c r="A76" s="10"/>
      <c r="B76" s="561" t="s">
        <v>164</v>
      </c>
      <c r="C76" s="561"/>
      <c r="D76" s="561"/>
      <c r="E76" s="561"/>
      <c r="F76" s="561"/>
      <c r="G76" s="561"/>
    </row>
    <row r="77" spans="1:14" ht="15.6" x14ac:dyDescent="0.3">
      <c r="A77" s="10"/>
      <c r="B77" s="561" t="s">
        <v>165</v>
      </c>
      <c r="C77" s="561"/>
      <c r="D77" s="561"/>
      <c r="E77" s="561"/>
      <c r="F77" s="561"/>
      <c r="G77" s="561"/>
    </row>
    <row r="78" spans="1:14" x14ac:dyDescent="0.3">
      <c r="A78" s="10"/>
      <c r="B78" s="13"/>
      <c r="C78" s="15"/>
      <c r="D78" s="577"/>
      <c r="E78" s="16"/>
      <c r="F78" s="1"/>
      <c r="G78" s="17"/>
    </row>
    <row r="79" spans="1:14" x14ac:dyDescent="0.3">
      <c r="A79" s="559"/>
      <c r="B79" s="304"/>
      <c r="C79" s="306"/>
      <c r="D79" s="570"/>
      <c r="E79" s="307"/>
      <c r="F79" s="228"/>
      <c r="G79" s="560"/>
    </row>
    <row r="80" spans="1:14" x14ac:dyDescent="0.3">
      <c r="A80" s="559"/>
      <c r="B80" s="304"/>
      <c r="C80" s="306"/>
      <c r="D80" s="570"/>
      <c r="E80" s="559"/>
      <c r="F80" s="559"/>
      <c r="G80" s="559"/>
    </row>
    <row r="81" spans="1:7" ht="14.4" x14ac:dyDescent="0.3">
      <c r="A81" s="559"/>
      <c r="B81" s="309"/>
      <c r="C81" s="306"/>
      <c r="D81" s="562"/>
      <c r="E81" s="562"/>
      <c r="F81" s="562"/>
      <c r="G81" s="562"/>
    </row>
    <row r="82" spans="1:7" ht="28.2" x14ac:dyDescent="0.5">
      <c r="A82" s="559"/>
      <c r="B82" s="312" t="s">
        <v>32</v>
      </c>
      <c r="C82" s="306"/>
      <c r="D82" s="313" t="s">
        <v>33</v>
      </c>
      <c r="E82" s="313"/>
      <c r="F82" s="313"/>
      <c r="G82" s="313"/>
    </row>
    <row r="83" spans="1:7" x14ac:dyDescent="0.3">
      <c r="A83" s="559"/>
      <c r="B83" s="304"/>
      <c r="C83" s="306"/>
      <c r="D83" s="570"/>
      <c r="E83" s="307"/>
      <c r="F83" s="228"/>
      <c r="G83" s="560"/>
    </row>
    <row r="84" spans="1:7" x14ac:dyDescent="0.3">
      <c r="A84" s="559"/>
      <c r="B84" s="304"/>
      <c r="C84" s="306"/>
      <c r="D84" s="570"/>
      <c r="E84" s="307"/>
      <c r="F84" s="228"/>
      <c r="G84" s="560"/>
    </row>
  </sheetData>
  <mergeCells count="38">
    <mergeCell ref="D81:G81"/>
    <mergeCell ref="D82:G82"/>
    <mergeCell ref="C62:E62"/>
    <mergeCell ref="C63:E63"/>
    <mergeCell ref="C64:E64"/>
    <mergeCell ref="C65:E65"/>
    <mergeCell ref="C66:E66"/>
    <mergeCell ref="C67:E67"/>
    <mergeCell ref="C68:E68"/>
    <mergeCell ref="C69:E69"/>
    <mergeCell ref="F72:G72"/>
    <mergeCell ref="B75:G75"/>
    <mergeCell ref="B76:G76"/>
    <mergeCell ref="B77:G77"/>
    <mergeCell ref="D70:E70"/>
    <mergeCell ref="C57:F57"/>
    <mergeCell ref="A59:G59"/>
    <mergeCell ref="C35:F35"/>
    <mergeCell ref="G36:G39"/>
    <mergeCell ref="C41:F41"/>
    <mergeCell ref="A43:G43"/>
    <mergeCell ref="C44:F44"/>
    <mergeCell ref="G45:G55"/>
    <mergeCell ref="A27:G27"/>
    <mergeCell ref="C28:F28"/>
    <mergeCell ref="G29:G30"/>
    <mergeCell ref="A31:G31"/>
    <mergeCell ref="C32:F32"/>
    <mergeCell ref="A34:G34"/>
    <mergeCell ref="A7:G7"/>
    <mergeCell ref="C11:F11"/>
    <mergeCell ref="G12:G21"/>
    <mergeCell ref="A22:G22"/>
    <mergeCell ref="C23:F23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DC8-6449-41DC-B79B-57C66C1E1AA4}">
  <dimension ref="A1:R84"/>
  <sheetViews>
    <sheetView topLeftCell="A55" zoomScale="50" zoomScaleNormal="50" workbookViewId="0">
      <selection activeCell="B32" sqref="B32"/>
    </sheetView>
  </sheetViews>
  <sheetFormatPr baseColWidth="10" defaultColWidth="9.109375" defaultRowHeight="13.8" x14ac:dyDescent="0.25"/>
  <cols>
    <col min="1" max="1" width="18.44140625" style="10" customWidth="1"/>
    <col min="2" max="2" width="110" style="13" customWidth="1"/>
    <col min="3" max="3" width="25.109375" style="14" hidden="1" customWidth="1"/>
    <col min="4" max="4" width="18.33203125" style="15" bestFit="1" customWidth="1"/>
    <col min="5" max="5" width="9.33203125" style="15" customWidth="1"/>
    <col min="6" max="6" width="22.33203125" style="16" bestFit="1" customWidth="1"/>
    <col min="7" max="7" width="22.88671875" style="1" customWidth="1"/>
    <col min="8" max="8" width="37.5546875" style="17" customWidth="1"/>
    <col min="9" max="9" width="11.5546875" style="1" bestFit="1" customWidth="1"/>
    <col min="10" max="10" width="10.5546875" style="1" bestFit="1" customWidth="1"/>
    <col min="11" max="11" width="8.6640625" style="1" customWidth="1"/>
    <col min="12" max="12" width="0.88671875" style="1" hidden="1" customWidth="1"/>
    <col min="13" max="13" width="20.44140625" style="1" hidden="1" customWidth="1"/>
    <col min="14" max="14" width="18.6640625" style="1" hidden="1" customWidth="1"/>
    <col min="15" max="15" width="36.109375" style="1" hidden="1" customWidth="1"/>
    <col min="16" max="17" width="9.109375" style="1"/>
    <col min="18" max="18" width="11.44140625" style="1" customWidth="1"/>
    <col min="19" max="19" width="9.109375" style="1"/>
    <col min="20" max="20" width="13.109375" style="1" bestFit="1" customWidth="1"/>
    <col min="21" max="16384" width="9.109375" style="1"/>
  </cols>
  <sheetData>
    <row r="1" spans="1:15" ht="25.2" x14ac:dyDescent="0.45">
      <c r="A1" s="195"/>
      <c r="B1" s="196"/>
      <c r="C1" s="197"/>
      <c r="D1" s="198"/>
      <c r="E1" s="198"/>
      <c r="F1" s="199"/>
      <c r="G1" s="200"/>
      <c r="H1" s="201"/>
    </row>
    <row r="2" spans="1:15" s="135" customFormat="1" ht="24.75" customHeight="1" x14ac:dyDescent="0.5">
      <c r="A2" s="202" t="s">
        <v>34</v>
      </c>
      <c r="B2" s="203"/>
      <c r="C2" s="203"/>
      <c r="D2" s="203"/>
      <c r="E2" s="203"/>
      <c r="F2" s="203"/>
      <c r="G2" s="203"/>
      <c r="H2" s="204"/>
    </row>
    <row r="3" spans="1:15" s="135" customFormat="1" ht="24.75" customHeight="1" x14ac:dyDescent="0.5">
      <c r="A3" s="202" t="s">
        <v>35</v>
      </c>
      <c r="B3" s="203"/>
      <c r="C3" s="203"/>
      <c r="D3" s="203"/>
      <c r="E3" s="203"/>
      <c r="F3" s="203"/>
      <c r="G3" s="203"/>
      <c r="H3" s="204"/>
    </row>
    <row r="4" spans="1:15" s="135" customFormat="1" ht="24.75" customHeight="1" x14ac:dyDescent="0.5">
      <c r="A4" s="202" t="s">
        <v>36</v>
      </c>
      <c r="B4" s="203"/>
      <c r="C4" s="203"/>
      <c r="D4" s="203"/>
      <c r="E4" s="203"/>
      <c r="F4" s="203"/>
      <c r="G4" s="203"/>
      <c r="H4" s="204"/>
    </row>
    <row r="5" spans="1:15" s="135" customFormat="1" ht="24.75" customHeight="1" x14ac:dyDescent="0.3">
      <c r="A5" s="205" t="s">
        <v>75</v>
      </c>
      <c r="B5" s="136"/>
      <c r="C5" s="136"/>
      <c r="D5" s="136"/>
      <c r="E5" s="136"/>
      <c r="F5" s="136"/>
      <c r="G5" s="136"/>
      <c r="H5" s="206"/>
    </row>
    <row r="6" spans="1:15" customFormat="1" ht="25.8" x14ac:dyDescent="0.3">
      <c r="A6" s="207"/>
      <c r="B6" s="208"/>
      <c r="C6" s="208"/>
      <c r="D6" s="208"/>
      <c r="E6" s="208"/>
      <c r="F6" s="208"/>
      <c r="G6" s="208"/>
      <c r="H6" s="209"/>
    </row>
    <row r="7" spans="1:15" customFormat="1" ht="26.25" customHeight="1" x14ac:dyDescent="0.3">
      <c r="A7" s="210" t="s">
        <v>37</v>
      </c>
      <c r="B7" s="211"/>
      <c r="C7" s="211"/>
      <c r="D7" s="211"/>
      <c r="E7" s="211"/>
      <c r="F7" s="211"/>
      <c r="G7" s="211"/>
      <c r="H7" s="212"/>
    </row>
    <row r="8" spans="1:15" ht="25.8" thickBot="1" x14ac:dyDescent="0.3">
      <c r="A8" s="213"/>
      <c r="B8" s="214"/>
      <c r="C8" s="214"/>
      <c r="D8" s="214"/>
      <c r="E8" s="214"/>
      <c r="F8" s="214"/>
      <c r="G8" s="214"/>
      <c r="H8" s="215"/>
    </row>
    <row r="9" spans="1:15" ht="36" customHeight="1" thickBot="1" x14ac:dyDescent="0.3">
      <c r="A9" s="216" t="s">
        <v>0</v>
      </c>
      <c r="B9" s="217" t="s">
        <v>6</v>
      </c>
      <c r="C9" s="218" t="s">
        <v>22</v>
      </c>
      <c r="D9" s="216" t="s">
        <v>21</v>
      </c>
      <c r="E9" s="216" t="s">
        <v>1</v>
      </c>
      <c r="F9" s="216" t="s">
        <v>2</v>
      </c>
      <c r="G9" s="216" t="s">
        <v>3</v>
      </c>
      <c r="H9" s="216" t="s">
        <v>4</v>
      </c>
      <c r="M9" s="1" t="s">
        <v>7</v>
      </c>
      <c r="N9" s="1" t="s">
        <v>8</v>
      </c>
      <c r="O9" s="1" t="s">
        <v>9</v>
      </c>
    </row>
    <row r="10" spans="1:15" ht="10.5" customHeight="1" thickBot="1" x14ac:dyDescent="0.3">
      <c r="A10" s="219"/>
      <c r="B10" s="220"/>
      <c r="C10" s="220"/>
      <c r="D10" s="220"/>
      <c r="E10" s="220"/>
      <c r="F10" s="220"/>
      <c r="G10" s="220"/>
      <c r="H10" s="221"/>
      <c r="L10" s="1" t="s">
        <v>10</v>
      </c>
      <c r="M10" s="1">
        <f>39600+29750+38700+28500+45900+32300+96000+35000</f>
        <v>345750</v>
      </c>
      <c r="N10" s="1">
        <v>300000</v>
      </c>
      <c r="O10" s="1">
        <v>368000</v>
      </c>
    </row>
    <row r="11" spans="1:15" s="228" customFormat="1" ht="74.400000000000006" thickBot="1" x14ac:dyDescent="0.45">
      <c r="A11" s="222">
        <v>1</v>
      </c>
      <c r="B11" s="223" t="s">
        <v>76</v>
      </c>
      <c r="C11" s="224"/>
      <c r="D11" s="225">
        <v>1</v>
      </c>
      <c r="E11" s="225" t="s">
        <v>19</v>
      </c>
      <c r="F11" s="225"/>
      <c r="G11" s="226">
        <f>D11*F11</f>
        <v>0</v>
      </c>
      <c r="H11" s="227">
        <f>+G11</f>
        <v>0</v>
      </c>
      <c r="L11" s="228" t="s">
        <v>11</v>
      </c>
      <c r="M11" s="228">
        <f>62100+5520+11675+3500</f>
        <v>82795</v>
      </c>
      <c r="O11" s="228">
        <f>116000</f>
        <v>116000</v>
      </c>
    </row>
    <row r="12" spans="1:15" ht="13.5" customHeight="1" thickBot="1" x14ac:dyDescent="0.3">
      <c r="A12" s="229"/>
      <c r="B12" s="230"/>
      <c r="C12" s="230"/>
      <c r="D12" s="230"/>
      <c r="E12" s="230"/>
      <c r="F12" s="230"/>
      <c r="G12" s="230"/>
      <c r="H12" s="231"/>
    </row>
    <row r="13" spans="1:15" ht="25.2" thickBot="1" x14ac:dyDescent="0.3">
      <c r="A13" s="232">
        <v>2</v>
      </c>
      <c r="B13" s="233" t="s">
        <v>77</v>
      </c>
      <c r="C13" s="225"/>
      <c r="D13" s="225"/>
      <c r="E13" s="225"/>
      <c r="F13" s="225"/>
      <c r="G13" s="225"/>
      <c r="H13" s="227">
        <f>SUM(G14:G15)</f>
        <v>0</v>
      </c>
    </row>
    <row r="14" spans="1:15" ht="25.8" x14ac:dyDescent="0.25">
      <c r="A14" s="234">
        <f>+A13+0.01</f>
        <v>2.0099999999999998</v>
      </c>
      <c r="B14" s="235" t="s">
        <v>78</v>
      </c>
      <c r="C14" s="235">
        <f>+(5.54+0.8+4.09-0.3+2.93+3.05+3.05+4.09+3.05)*2.5</f>
        <v>65.75</v>
      </c>
      <c r="D14" s="236">
        <v>97.111200000000011</v>
      </c>
      <c r="E14" s="237" t="s">
        <v>79</v>
      </c>
      <c r="F14" s="238"/>
      <c r="G14" s="239">
        <f>D14*F14</f>
        <v>0</v>
      </c>
      <c r="H14" s="240"/>
    </row>
    <row r="15" spans="1:15" ht="25.8" x14ac:dyDescent="0.25">
      <c r="A15" s="234">
        <f>+A14+0.01</f>
        <v>2.0199999999999996</v>
      </c>
      <c r="B15" s="235" t="s">
        <v>80</v>
      </c>
      <c r="C15" s="235"/>
      <c r="D15" s="236">
        <v>35.409600000000005</v>
      </c>
      <c r="E15" s="237" t="s">
        <v>79</v>
      </c>
      <c r="F15" s="238"/>
      <c r="G15" s="226">
        <f>D15*F15</f>
        <v>0</v>
      </c>
      <c r="H15" s="240"/>
    </row>
    <row r="16" spans="1:15" ht="15.75" customHeight="1" thickBot="1" x14ac:dyDescent="0.3">
      <c r="A16" s="241"/>
      <c r="B16" s="242"/>
      <c r="C16" s="242"/>
      <c r="D16" s="243"/>
      <c r="E16" s="243"/>
      <c r="F16" s="243"/>
      <c r="G16" s="244"/>
      <c r="H16" s="245"/>
    </row>
    <row r="17" spans="1:18" ht="26.25" customHeight="1" thickBot="1" x14ac:dyDescent="0.3">
      <c r="A17" s="222">
        <v>3</v>
      </c>
      <c r="B17" s="246" t="s">
        <v>81</v>
      </c>
      <c r="C17" s="247"/>
      <c r="D17" s="247"/>
      <c r="E17" s="247"/>
      <c r="F17" s="247"/>
      <c r="G17" s="248"/>
      <c r="H17" s="227">
        <f>SUM(G18:G21)</f>
        <v>0</v>
      </c>
    </row>
    <row r="18" spans="1:18" ht="50.4" x14ac:dyDescent="0.25">
      <c r="A18" s="234">
        <f>+A17+0.01</f>
        <v>3.01</v>
      </c>
      <c r="B18" s="154" t="s">
        <v>82</v>
      </c>
      <c r="C18" s="154" t="e">
        <f>+#REF!*2.42*1.05</f>
        <v>#REF!</v>
      </c>
      <c r="D18" s="236">
        <v>4.5999999999999996</v>
      </c>
      <c r="E18" s="249" t="s">
        <v>79</v>
      </c>
      <c r="F18" s="239"/>
      <c r="G18" s="226">
        <f>D18*F18</f>
        <v>0</v>
      </c>
      <c r="H18" s="250"/>
    </row>
    <row r="19" spans="1:18" s="228" customFormat="1" ht="42" customHeight="1" x14ac:dyDescent="0.25">
      <c r="A19" s="234">
        <f>+A18+0.01</f>
        <v>3.0199999999999996</v>
      </c>
      <c r="B19" s="154" t="s">
        <v>83</v>
      </c>
      <c r="C19" s="154" t="e">
        <f>+#REF!*2.42*1.05</f>
        <v>#REF!</v>
      </c>
      <c r="D19" s="236">
        <v>71.819999999999993</v>
      </c>
      <c r="E19" s="237" t="s">
        <v>18</v>
      </c>
      <c r="F19" s="251"/>
      <c r="G19" s="226">
        <f>D19*F19</f>
        <v>0</v>
      </c>
      <c r="H19" s="252"/>
    </row>
    <row r="20" spans="1:18" ht="50.4" x14ac:dyDescent="0.25">
      <c r="A20" s="234">
        <f>+A19+0.01</f>
        <v>3.0299999999999994</v>
      </c>
      <c r="B20" s="154" t="s">
        <v>84</v>
      </c>
      <c r="C20" s="154" t="e">
        <f>+#REF!*2.42*1.05</f>
        <v>#REF!</v>
      </c>
      <c r="D20" s="236">
        <v>14.38</v>
      </c>
      <c r="E20" s="237" t="s">
        <v>79</v>
      </c>
      <c r="F20" s="239"/>
      <c r="G20" s="226">
        <f>D20*F20</f>
        <v>0</v>
      </c>
      <c r="H20" s="252"/>
    </row>
    <row r="21" spans="1:18" ht="51.75" customHeight="1" thickBot="1" x14ac:dyDescent="0.3">
      <c r="A21" s="234">
        <f>+A20+0.01</f>
        <v>3.0399999999999991</v>
      </c>
      <c r="B21" s="154" t="s">
        <v>85</v>
      </c>
      <c r="C21" s="154" t="e">
        <f>+#REF!*2.42*1.05</f>
        <v>#REF!</v>
      </c>
      <c r="D21" s="236">
        <v>1.37</v>
      </c>
      <c r="E21" s="253" t="s">
        <v>79</v>
      </c>
      <c r="F21" s="239"/>
      <c r="G21" s="226">
        <f>D21*F21</f>
        <v>0</v>
      </c>
      <c r="H21" s="252"/>
    </row>
    <row r="22" spans="1:18" ht="10.5" customHeight="1" thickBot="1" x14ac:dyDescent="0.3">
      <c r="A22" s="219"/>
      <c r="B22" s="220"/>
      <c r="C22" s="220"/>
      <c r="D22" s="220"/>
      <c r="E22" s="220"/>
      <c r="F22" s="220"/>
      <c r="G22" s="220"/>
      <c r="H22" s="221"/>
    </row>
    <row r="23" spans="1:18" ht="25.2" thickBot="1" x14ac:dyDescent="0.3">
      <c r="A23" s="222">
        <f>+A17+1</f>
        <v>4</v>
      </c>
      <c r="B23" s="246" t="s">
        <v>86</v>
      </c>
      <c r="C23" s="247"/>
      <c r="D23" s="247"/>
      <c r="E23" s="247"/>
      <c r="F23" s="247"/>
      <c r="G23" s="248"/>
      <c r="H23" s="227">
        <f>SUM(G24:G28)</f>
        <v>0</v>
      </c>
    </row>
    <row r="24" spans="1:18" ht="86.25" customHeight="1" x14ac:dyDescent="0.45">
      <c r="A24" s="234">
        <f>+A23+0.01</f>
        <v>4.01</v>
      </c>
      <c r="B24" s="254" t="s">
        <v>87</v>
      </c>
      <c r="C24" s="154" t="e">
        <f>+#REF!*2.42*1.05</f>
        <v>#REF!</v>
      </c>
      <c r="D24" s="236">
        <v>6</v>
      </c>
      <c r="E24" s="255" t="s">
        <v>12</v>
      </c>
      <c r="F24" s="239"/>
      <c r="G24" s="226">
        <f>D24*F24</f>
        <v>0</v>
      </c>
      <c r="H24" s="256"/>
    </row>
    <row r="25" spans="1:18" ht="60" customHeight="1" x14ac:dyDescent="0.25">
      <c r="A25" s="234">
        <f>+A24+0.01</f>
        <v>4.0199999999999996</v>
      </c>
      <c r="B25" s="154" t="s">
        <v>88</v>
      </c>
      <c r="C25" s="154"/>
      <c r="D25" s="236">
        <v>1</v>
      </c>
      <c r="E25" s="257" t="s">
        <v>12</v>
      </c>
      <c r="F25" s="239"/>
      <c r="G25" s="226">
        <f>D25*F25</f>
        <v>0</v>
      </c>
      <c r="H25" s="256"/>
    </row>
    <row r="26" spans="1:18" ht="75.599999999999994" x14ac:dyDescent="0.25">
      <c r="A26" s="234">
        <f>+A25+0.01</f>
        <v>4.0299999999999994</v>
      </c>
      <c r="B26" s="154" t="s">
        <v>89</v>
      </c>
      <c r="C26" s="154" t="e">
        <f>+#REF!*2.42*1.05</f>
        <v>#REF!</v>
      </c>
      <c r="D26" s="236">
        <v>1</v>
      </c>
      <c r="E26" s="257" t="s">
        <v>12</v>
      </c>
      <c r="F26" s="239"/>
      <c r="G26" s="226">
        <f>D26*F26</f>
        <v>0</v>
      </c>
      <c r="H26" s="258"/>
      <c r="R26" s="17"/>
    </row>
    <row r="27" spans="1:18" ht="58.8" customHeight="1" x14ac:dyDescent="0.25">
      <c r="A27" s="234">
        <f>+A26+0.01</f>
        <v>4.0399999999999991</v>
      </c>
      <c r="B27" s="154" t="s">
        <v>90</v>
      </c>
      <c r="C27" s="154" t="e">
        <f>+#REF!*2.42*1.05</f>
        <v>#REF!</v>
      </c>
      <c r="D27" s="236">
        <v>142.35</v>
      </c>
      <c r="E27" s="259" t="s">
        <v>91</v>
      </c>
      <c r="F27" s="239"/>
      <c r="G27" s="226">
        <f>D27*F27</f>
        <v>0</v>
      </c>
      <c r="H27" s="258"/>
      <c r="R27" s="17"/>
    </row>
    <row r="28" spans="1:18" ht="50.4" x14ac:dyDescent="0.25">
      <c r="A28" s="234">
        <f>+A27+0.01</f>
        <v>4.0499999999999989</v>
      </c>
      <c r="B28" s="154" t="s">
        <v>92</v>
      </c>
      <c r="C28" s="154" t="e">
        <f>+#REF!*2.42*1.05</f>
        <v>#REF!</v>
      </c>
      <c r="D28" s="236">
        <v>22.6</v>
      </c>
      <c r="E28" s="259" t="s">
        <v>93</v>
      </c>
      <c r="F28" s="239"/>
      <c r="G28" s="226">
        <f>D28*F28</f>
        <v>0</v>
      </c>
      <c r="H28" s="258"/>
      <c r="R28" s="17"/>
    </row>
    <row r="29" spans="1:18" ht="6.75" customHeight="1" thickBot="1" x14ac:dyDescent="0.3">
      <c r="A29" s="260"/>
      <c r="B29" s="261"/>
      <c r="C29" s="261"/>
      <c r="D29" s="261"/>
      <c r="E29" s="261"/>
      <c r="F29" s="261"/>
      <c r="G29" s="261"/>
      <c r="H29" s="262"/>
    </row>
    <row r="30" spans="1:18" ht="25.2" thickBot="1" x14ac:dyDescent="0.3">
      <c r="A30" s="222">
        <f>+A23+1</f>
        <v>5</v>
      </c>
      <c r="B30" s="263" t="s">
        <v>94</v>
      </c>
      <c r="C30" s="225"/>
      <c r="D30" s="225"/>
      <c r="E30" s="225"/>
      <c r="F30" s="225"/>
      <c r="G30" s="225"/>
      <c r="H30" s="227">
        <f>SUM(G31:G39)</f>
        <v>0</v>
      </c>
    </row>
    <row r="31" spans="1:18" ht="50.4" x14ac:dyDescent="0.25">
      <c r="A31" s="234">
        <f>+A30+0.01</f>
        <v>5.01</v>
      </c>
      <c r="B31" s="154" t="s">
        <v>95</v>
      </c>
      <c r="C31" s="154"/>
      <c r="D31" s="236">
        <v>1</v>
      </c>
      <c r="E31" s="237" t="s">
        <v>12</v>
      </c>
      <c r="F31" s="239"/>
      <c r="G31" s="226">
        <f t="shared" ref="G31:G39" si="0">D31*F31</f>
        <v>0</v>
      </c>
      <c r="H31" s="258"/>
    </row>
    <row r="32" spans="1:18" ht="90" customHeight="1" x14ac:dyDescent="0.25">
      <c r="A32" s="234">
        <f t="shared" ref="A32:A38" si="1">+A31+0.01</f>
        <v>5.0199999999999996</v>
      </c>
      <c r="B32" s="154" t="s">
        <v>96</v>
      </c>
      <c r="C32" s="154"/>
      <c r="D32" s="236">
        <v>17</v>
      </c>
      <c r="E32" s="257" t="s">
        <v>18</v>
      </c>
      <c r="F32" s="239"/>
      <c r="G32" s="226">
        <f t="shared" si="0"/>
        <v>0</v>
      </c>
      <c r="H32" s="258"/>
    </row>
    <row r="33" spans="1:8" ht="25.2" x14ac:dyDescent="0.25">
      <c r="A33" s="234">
        <f>+A32+0.01</f>
        <v>5.0299999999999994</v>
      </c>
      <c r="B33" s="154" t="s">
        <v>97</v>
      </c>
      <c r="C33" s="154"/>
      <c r="D33" s="236">
        <v>1</v>
      </c>
      <c r="E33" s="237" t="s">
        <v>12</v>
      </c>
      <c r="F33" s="239"/>
      <c r="G33" s="226">
        <f t="shared" si="0"/>
        <v>0</v>
      </c>
      <c r="H33" s="258"/>
    </row>
    <row r="34" spans="1:8" ht="39.75" customHeight="1" x14ac:dyDescent="0.25">
      <c r="A34" s="234">
        <f>+A33+0.01</f>
        <v>5.0399999999999991</v>
      </c>
      <c r="B34" s="154" t="s">
        <v>98</v>
      </c>
      <c r="C34" s="154"/>
      <c r="D34" s="236">
        <v>1</v>
      </c>
      <c r="E34" s="237" t="s">
        <v>12</v>
      </c>
      <c r="F34" s="239"/>
      <c r="G34" s="226">
        <f t="shared" si="0"/>
        <v>0</v>
      </c>
      <c r="H34" s="258"/>
    </row>
    <row r="35" spans="1:8" ht="50.4" x14ac:dyDescent="0.25">
      <c r="A35" s="234">
        <f>+A34+0.01</f>
        <v>5.0499999999999989</v>
      </c>
      <c r="B35" s="154" t="s">
        <v>99</v>
      </c>
      <c r="C35" s="154"/>
      <c r="D35" s="236">
        <v>1</v>
      </c>
      <c r="E35" s="237" t="s">
        <v>12</v>
      </c>
      <c r="F35" s="239"/>
      <c r="G35" s="226">
        <f t="shared" si="0"/>
        <v>0</v>
      </c>
      <c r="H35" s="258"/>
    </row>
    <row r="36" spans="1:8" ht="57.75" customHeight="1" x14ac:dyDescent="0.25">
      <c r="A36" s="234">
        <f t="shared" ref="A36:A39" si="2">+A35+0.01</f>
        <v>5.0599999999999987</v>
      </c>
      <c r="B36" s="154" t="s">
        <v>100</v>
      </c>
      <c r="C36" s="154"/>
      <c r="D36" s="236">
        <v>1</v>
      </c>
      <c r="E36" s="237" t="s">
        <v>12</v>
      </c>
      <c r="F36" s="239"/>
      <c r="G36" s="226">
        <f t="shared" si="0"/>
        <v>0</v>
      </c>
      <c r="H36" s="258"/>
    </row>
    <row r="37" spans="1:8" ht="50.4" x14ac:dyDescent="0.25">
      <c r="A37" s="234">
        <f t="shared" si="2"/>
        <v>5.0699999999999985</v>
      </c>
      <c r="B37" s="154" t="s">
        <v>101</v>
      </c>
      <c r="C37" s="154" t="e">
        <f>+#REF!*2.42*1.05</f>
        <v>#REF!</v>
      </c>
      <c r="D37" s="236">
        <v>1</v>
      </c>
      <c r="E37" s="237" t="s">
        <v>12</v>
      </c>
      <c r="F37" s="239"/>
      <c r="G37" s="226">
        <f t="shared" si="0"/>
        <v>0</v>
      </c>
      <c r="H37" s="258"/>
    </row>
    <row r="38" spans="1:8" s="264" customFormat="1" ht="76.8" customHeight="1" x14ac:dyDescent="0.25">
      <c r="A38" s="234">
        <f t="shared" si="2"/>
        <v>5.0799999999999983</v>
      </c>
      <c r="B38" s="154" t="s">
        <v>102</v>
      </c>
      <c r="C38" s="154" t="e">
        <f>+#REF!*2.42*1.05</f>
        <v>#REF!</v>
      </c>
      <c r="D38" s="236">
        <v>1</v>
      </c>
      <c r="E38" s="237" t="s">
        <v>12</v>
      </c>
      <c r="F38" s="239"/>
      <c r="G38" s="226">
        <f t="shared" si="0"/>
        <v>0</v>
      </c>
      <c r="H38" s="258"/>
    </row>
    <row r="39" spans="1:8" s="71" customFormat="1" ht="37.5" customHeight="1" x14ac:dyDescent="0.3">
      <c r="A39" s="234">
        <f t="shared" si="2"/>
        <v>5.0899999999999981</v>
      </c>
      <c r="B39" s="154" t="s">
        <v>103</v>
      </c>
      <c r="C39" s="154" t="e">
        <f>+#REF!*2.42*1.05</f>
        <v>#REF!</v>
      </c>
      <c r="D39" s="236">
        <v>2</v>
      </c>
      <c r="E39" s="237" t="s">
        <v>12</v>
      </c>
      <c r="F39" s="239"/>
      <c r="G39" s="226">
        <f t="shared" si="0"/>
        <v>0</v>
      </c>
      <c r="H39" s="258"/>
    </row>
    <row r="40" spans="1:8" customFormat="1" ht="7.5" customHeight="1" thickBot="1" x14ac:dyDescent="0.35">
      <c r="A40" s="260"/>
      <c r="B40" s="261"/>
      <c r="C40" s="261"/>
      <c r="D40" s="261"/>
      <c r="E40" s="261"/>
      <c r="F40" s="261"/>
      <c r="G40" s="261"/>
      <c r="H40" s="262"/>
    </row>
    <row r="41" spans="1:8" customFormat="1" ht="35.25" customHeight="1" thickBot="1" x14ac:dyDescent="0.35">
      <c r="A41" s="222">
        <f>+A30+1</f>
        <v>6</v>
      </c>
      <c r="B41" s="246" t="s">
        <v>43</v>
      </c>
      <c r="C41" s="247"/>
      <c r="D41" s="247"/>
      <c r="E41" s="247"/>
      <c r="F41" s="247"/>
      <c r="G41" s="248"/>
      <c r="H41" s="227">
        <f>SUM(G42:G48)</f>
        <v>0</v>
      </c>
    </row>
    <row r="42" spans="1:8" s="266" customFormat="1" ht="50.4" x14ac:dyDescent="0.3">
      <c r="A42" s="234">
        <f>+A41+0.01</f>
        <v>6.01</v>
      </c>
      <c r="B42" s="154" t="s">
        <v>104</v>
      </c>
      <c r="C42" s="154" t="e">
        <f>+#REF!*2.42*1.05</f>
        <v>#REF!</v>
      </c>
      <c r="D42" s="236">
        <v>15</v>
      </c>
      <c r="E42" s="265" t="s">
        <v>12</v>
      </c>
      <c r="F42" s="239"/>
      <c r="G42" s="226">
        <f t="shared" ref="G42:G48" si="3">D42*F42</f>
        <v>0</v>
      </c>
      <c r="H42" s="256"/>
    </row>
    <row r="43" spans="1:8" s="266" customFormat="1" ht="50.4" x14ac:dyDescent="0.3">
      <c r="A43" s="234">
        <f t="shared" ref="A43:A48" si="4">+A42+0.01</f>
        <v>6.02</v>
      </c>
      <c r="B43" s="154" t="s">
        <v>105</v>
      </c>
      <c r="C43" s="154"/>
      <c r="D43" s="236">
        <v>4</v>
      </c>
      <c r="E43" s="265" t="s">
        <v>12</v>
      </c>
      <c r="F43" s="239"/>
      <c r="G43" s="226">
        <f t="shared" si="3"/>
        <v>0</v>
      </c>
      <c r="H43" s="258"/>
    </row>
    <row r="44" spans="1:8" customFormat="1" ht="31.5" customHeight="1" x14ac:dyDescent="0.3">
      <c r="A44" s="234">
        <f t="shared" si="4"/>
        <v>6.0299999999999994</v>
      </c>
      <c r="B44" s="154" t="s">
        <v>106</v>
      </c>
      <c r="C44" s="154" t="e">
        <f>+#REF!*2.42*1.05</f>
        <v>#REF!</v>
      </c>
      <c r="D44" s="236">
        <v>6</v>
      </c>
      <c r="E44" s="265" t="s">
        <v>12</v>
      </c>
      <c r="F44" s="239"/>
      <c r="G44" s="226">
        <f t="shared" si="3"/>
        <v>0</v>
      </c>
      <c r="H44" s="258"/>
    </row>
    <row r="45" spans="1:8" customFormat="1" ht="31.5" customHeight="1" x14ac:dyDescent="0.3">
      <c r="A45" s="234">
        <f t="shared" si="4"/>
        <v>6.0399999999999991</v>
      </c>
      <c r="B45" s="154" t="s">
        <v>107</v>
      </c>
      <c r="C45" s="154" t="e">
        <f>+#REF!*2.42*1.05</f>
        <v>#REF!</v>
      </c>
      <c r="D45" s="236">
        <v>2</v>
      </c>
      <c r="E45" s="265" t="s">
        <v>12</v>
      </c>
      <c r="F45" s="239"/>
      <c r="G45" s="226">
        <f t="shared" si="3"/>
        <v>0</v>
      </c>
      <c r="H45" s="258"/>
    </row>
    <row r="46" spans="1:8" ht="25.2" x14ac:dyDescent="0.25">
      <c r="A46" s="234">
        <f t="shared" si="4"/>
        <v>6.0499999999999989</v>
      </c>
      <c r="B46" s="73" t="s">
        <v>108</v>
      </c>
      <c r="C46" s="267"/>
      <c r="D46" s="236">
        <v>7</v>
      </c>
      <c r="E46" s="265" t="s">
        <v>12</v>
      </c>
      <c r="F46" s="239"/>
      <c r="G46" s="226">
        <f t="shared" si="3"/>
        <v>0</v>
      </c>
      <c r="H46" s="258"/>
    </row>
    <row r="47" spans="1:8" ht="30" customHeight="1" x14ac:dyDescent="0.25">
      <c r="A47" s="234">
        <f t="shared" si="4"/>
        <v>6.0599999999999987</v>
      </c>
      <c r="B47" s="73" t="s">
        <v>109</v>
      </c>
      <c r="C47" s="267"/>
      <c r="D47" s="236">
        <v>3</v>
      </c>
      <c r="E47" s="265" t="s">
        <v>12</v>
      </c>
      <c r="F47" s="239"/>
      <c r="G47" s="239">
        <f t="shared" si="3"/>
        <v>0</v>
      </c>
      <c r="H47" s="258"/>
    </row>
    <row r="48" spans="1:8" ht="50.4" x14ac:dyDescent="0.25">
      <c r="A48" s="234">
        <f t="shared" si="4"/>
        <v>6.0699999999999985</v>
      </c>
      <c r="B48" s="73" t="s">
        <v>110</v>
      </c>
      <c r="C48" s="267"/>
      <c r="D48" s="236">
        <v>2</v>
      </c>
      <c r="E48" s="265" t="s">
        <v>12</v>
      </c>
      <c r="F48" s="239"/>
      <c r="G48" s="239">
        <f t="shared" si="3"/>
        <v>0</v>
      </c>
      <c r="H48" s="258"/>
    </row>
    <row r="49" spans="1:8" ht="8.25" customHeight="1" thickBot="1" x14ac:dyDescent="0.3">
      <c r="A49" s="213"/>
      <c r="B49" s="214"/>
      <c r="C49" s="214"/>
      <c r="D49" s="214"/>
      <c r="E49" s="214"/>
      <c r="F49" s="214"/>
      <c r="G49" s="214"/>
      <c r="H49" s="215"/>
    </row>
    <row r="50" spans="1:8" ht="25.2" thickBot="1" x14ac:dyDescent="0.3">
      <c r="A50" s="222">
        <f>+A41+1</f>
        <v>7</v>
      </c>
      <c r="B50" s="246" t="s">
        <v>16</v>
      </c>
      <c r="C50" s="247"/>
      <c r="D50" s="247"/>
      <c r="E50" s="247"/>
      <c r="F50" s="247"/>
      <c r="G50" s="248"/>
      <c r="H50" s="227">
        <f>SUM(G51:G53)</f>
        <v>0</v>
      </c>
    </row>
    <row r="51" spans="1:8" ht="58.5" customHeight="1" x14ac:dyDescent="0.25">
      <c r="A51" s="234">
        <f>+A50+0.01</f>
        <v>7.01</v>
      </c>
      <c r="B51" s="154" t="s">
        <v>111</v>
      </c>
      <c r="C51" s="154" t="e">
        <f>+#REF!*2.42*1.05</f>
        <v>#REF!</v>
      </c>
      <c r="D51" s="236">
        <v>353</v>
      </c>
      <c r="E51" s="237" t="s">
        <v>79</v>
      </c>
      <c r="F51" s="239"/>
      <c r="G51" s="226">
        <f>D51*F51</f>
        <v>0</v>
      </c>
      <c r="H51" s="256"/>
    </row>
    <row r="52" spans="1:8" ht="50.4" x14ac:dyDescent="0.25">
      <c r="A52" s="234">
        <f>+A51+0.01</f>
        <v>7.02</v>
      </c>
      <c r="B52" s="154" t="s">
        <v>112</v>
      </c>
      <c r="C52" s="154"/>
      <c r="D52" s="236">
        <v>52.48</v>
      </c>
      <c r="E52" s="237" t="s">
        <v>79</v>
      </c>
      <c r="F52" s="239"/>
      <c r="G52" s="226">
        <f>D52*F52</f>
        <v>0</v>
      </c>
      <c r="H52" s="258"/>
    </row>
    <row r="53" spans="1:8" ht="50.4" x14ac:dyDescent="0.25">
      <c r="A53" s="234">
        <f>+A52+0.01</f>
        <v>7.0299999999999994</v>
      </c>
      <c r="B53" s="154" t="s">
        <v>113</v>
      </c>
      <c r="C53" s="154" t="e">
        <f>+#REF!*2.42*1.05</f>
        <v>#REF!</v>
      </c>
      <c r="D53" s="236">
        <v>135</v>
      </c>
      <c r="E53" s="237" t="s">
        <v>79</v>
      </c>
      <c r="F53" s="239"/>
      <c r="G53" s="226">
        <f>D53*F53</f>
        <v>0</v>
      </c>
      <c r="H53" s="258"/>
    </row>
    <row r="54" spans="1:8" ht="6.75" customHeight="1" thickBot="1" x14ac:dyDescent="0.3">
      <c r="A54" s="260"/>
      <c r="B54" s="261"/>
      <c r="C54" s="261"/>
      <c r="D54" s="261"/>
      <c r="E54" s="261"/>
      <c r="F54" s="261"/>
      <c r="G54" s="261"/>
      <c r="H54" s="262"/>
    </row>
    <row r="55" spans="1:8" ht="25.2" thickBot="1" x14ac:dyDescent="0.3">
      <c r="A55" s="222">
        <f>+A50+1</f>
        <v>8</v>
      </c>
      <c r="B55" s="246" t="s">
        <v>17</v>
      </c>
      <c r="C55" s="247"/>
      <c r="D55" s="247"/>
      <c r="E55" s="247"/>
      <c r="F55" s="247"/>
      <c r="G55" s="248"/>
      <c r="H55" s="227">
        <f>SUM(G57:G61)</f>
        <v>0</v>
      </c>
    </row>
    <row r="56" spans="1:8" ht="50.4" x14ac:dyDescent="0.25">
      <c r="A56" s="234">
        <f>+A55+0.01</f>
        <v>8.01</v>
      </c>
      <c r="B56" s="154" t="s">
        <v>114</v>
      </c>
      <c r="C56" s="154" t="s">
        <v>115</v>
      </c>
      <c r="D56" s="236">
        <v>9</v>
      </c>
      <c r="E56" s="265" t="s">
        <v>12</v>
      </c>
      <c r="F56" s="239"/>
      <c r="G56" s="226">
        <f t="shared" ref="G56:G61" si="5">D56*F56</f>
        <v>0</v>
      </c>
      <c r="H56" s="268"/>
    </row>
    <row r="57" spans="1:8" ht="25.2" x14ac:dyDescent="0.25">
      <c r="A57" s="234">
        <f t="shared" ref="A57:A59" si="6">+A56+0.01</f>
        <v>8.02</v>
      </c>
      <c r="B57" s="154" t="s">
        <v>116</v>
      </c>
      <c r="C57" s="154" t="s">
        <v>117</v>
      </c>
      <c r="D57" s="236">
        <v>7</v>
      </c>
      <c r="E57" s="237" t="s">
        <v>118</v>
      </c>
      <c r="F57" s="239"/>
      <c r="G57" s="226">
        <f t="shared" si="5"/>
        <v>0</v>
      </c>
      <c r="H57" s="269"/>
    </row>
    <row r="58" spans="1:8" ht="25.2" x14ac:dyDescent="0.25">
      <c r="A58" s="234">
        <f t="shared" si="6"/>
        <v>8.0299999999999994</v>
      </c>
      <c r="B58" s="72" t="s">
        <v>119</v>
      </c>
      <c r="C58" s="72" t="s">
        <v>120</v>
      </c>
      <c r="D58" s="270">
        <v>7</v>
      </c>
      <c r="E58" s="237" t="s">
        <v>118</v>
      </c>
      <c r="F58" s="239"/>
      <c r="G58" s="226">
        <f t="shared" si="5"/>
        <v>0</v>
      </c>
      <c r="H58" s="269"/>
    </row>
    <row r="59" spans="1:8" ht="25.8" x14ac:dyDescent="0.25">
      <c r="A59" s="234">
        <f t="shared" si="6"/>
        <v>8.0399999999999991</v>
      </c>
      <c r="B59" s="72" t="s">
        <v>121</v>
      </c>
      <c r="C59" s="72" t="s">
        <v>122</v>
      </c>
      <c r="D59" s="270">
        <v>1.3</v>
      </c>
      <c r="E59" s="237" t="s">
        <v>79</v>
      </c>
      <c r="F59" s="239"/>
      <c r="G59" s="226">
        <f t="shared" si="5"/>
        <v>0</v>
      </c>
      <c r="H59" s="269"/>
    </row>
    <row r="60" spans="1:8" ht="117.6" customHeight="1" x14ac:dyDescent="0.25">
      <c r="A60" s="234">
        <f>+A59+0.01</f>
        <v>8.0499999999999989</v>
      </c>
      <c r="B60" s="271" t="s">
        <v>123</v>
      </c>
      <c r="C60" s="73" t="s">
        <v>122</v>
      </c>
      <c r="D60" s="270">
        <f>+((3.4*1.7)+(2*0.7*1))*10.76</f>
        <v>77.256799999999998</v>
      </c>
      <c r="E60" s="237" t="s">
        <v>79</v>
      </c>
      <c r="F60" s="239"/>
      <c r="G60" s="239">
        <f t="shared" si="5"/>
        <v>0</v>
      </c>
      <c r="H60" s="269"/>
    </row>
    <row r="61" spans="1:8" ht="34.5" customHeight="1" x14ac:dyDescent="0.25">
      <c r="A61" s="234">
        <f>+A60+0.01</f>
        <v>8.0599999999999987</v>
      </c>
      <c r="B61" s="154" t="s">
        <v>124</v>
      </c>
      <c r="C61" s="154" t="e">
        <f>+#REF!*2.42*1.05</f>
        <v>#REF!</v>
      </c>
      <c r="D61" s="236">
        <v>1</v>
      </c>
      <c r="E61" s="237" t="s">
        <v>42</v>
      </c>
      <c r="F61" s="239"/>
      <c r="G61" s="226">
        <f t="shared" si="5"/>
        <v>0</v>
      </c>
      <c r="H61" s="272"/>
    </row>
    <row r="62" spans="1:8" ht="7.5" customHeight="1" thickBot="1" x14ac:dyDescent="0.3">
      <c r="A62" s="260"/>
      <c r="B62" s="261"/>
      <c r="C62" s="261"/>
      <c r="D62" s="261"/>
      <c r="E62" s="261"/>
      <c r="F62" s="261"/>
      <c r="G62" s="261"/>
      <c r="H62" s="262"/>
    </row>
    <row r="63" spans="1:8" ht="30" customHeight="1" thickBot="1" x14ac:dyDescent="0.5">
      <c r="A63" s="273"/>
      <c r="B63" s="274" t="s">
        <v>20</v>
      </c>
      <c r="C63" s="275"/>
      <c r="D63" s="276"/>
      <c r="E63" s="277"/>
      <c r="F63" s="277"/>
      <c r="G63" s="278"/>
      <c r="H63" s="279">
        <f>SUM(H11+H13+H17+H23+H30+H41+H50+H55)</f>
        <v>0</v>
      </c>
    </row>
    <row r="64" spans="1:8" ht="5.25" customHeight="1" x14ac:dyDescent="0.25">
      <c r="A64" s="280"/>
      <c r="B64" s="281"/>
      <c r="C64" s="281"/>
      <c r="D64" s="281"/>
      <c r="E64" s="281"/>
      <c r="F64" s="281"/>
      <c r="G64" s="281"/>
      <c r="H64" s="282"/>
    </row>
    <row r="65" spans="1:8" ht="30" customHeight="1" x14ac:dyDescent="0.45">
      <c r="A65" s="283"/>
      <c r="B65" s="284" t="s">
        <v>5</v>
      </c>
      <c r="C65" s="174"/>
      <c r="D65" s="174"/>
      <c r="E65" s="174"/>
      <c r="F65" s="285"/>
      <c r="G65" s="285"/>
      <c r="H65" s="285"/>
    </row>
    <row r="66" spans="1:8" ht="30" customHeight="1" x14ac:dyDescent="0.45">
      <c r="A66" s="283"/>
      <c r="B66" s="285" t="s">
        <v>23</v>
      </c>
      <c r="C66" s="175">
        <v>0.02</v>
      </c>
      <c r="D66" s="175"/>
      <c r="E66" s="175"/>
      <c r="F66" s="285">
        <f>C66*H$63</f>
        <v>0</v>
      </c>
      <c r="G66" s="285"/>
      <c r="H66" s="285"/>
    </row>
    <row r="67" spans="1:8" ht="30" customHeight="1" x14ac:dyDescent="0.45">
      <c r="A67" s="283"/>
      <c r="B67" s="285" t="s">
        <v>71</v>
      </c>
      <c r="C67" s="175">
        <v>0.1</v>
      </c>
      <c r="D67" s="175"/>
      <c r="E67" s="175"/>
      <c r="F67" s="285">
        <f t="shared" ref="F67:F72" si="7">C67*H$63</f>
        <v>0</v>
      </c>
      <c r="G67" s="285"/>
      <c r="H67" s="285"/>
    </row>
    <row r="68" spans="1:8" ht="30" customHeight="1" x14ac:dyDescent="0.45">
      <c r="A68" s="283"/>
      <c r="B68" s="285" t="s">
        <v>25</v>
      </c>
      <c r="C68" s="175">
        <v>0.03</v>
      </c>
      <c r="D68" s="175"/>
      <c r="E68" s="175"/>
      <c r="F68" s="285">
        <f t="shared" si="7"/>
        <v>0</v>
      </c>
      <c r="G68" s="285"/>
      <c r="H68" s="285"/>
    </row>
    <row r="69" spans="1:8" ht="30" customHeight="1" x14ac:dyDescent="0.45">
      <c r="A69" s="283"/>
      <c r="B69" s="285" t="s">
        <v>26</v>
      </c>
      <c r="C69" s="175">
        <v>0.05</v>
      </c>
      <c r="D69" s="175"/>
      <c r="E69" s="175"/>
      <c r="F69" s="285">
        <f t="shared" si="7"/>
        <v>0</v>
      </c>
      <c r="G69" s="285"/>
      <c r="H69" s="285"/>
    </row>
    <row r="70" spans="1:8" ht="30" customHeight="1" x14ac:dyDescent="0.45">
      <c r="A70" s="283"/>
      <c r="B70" s="285" t="s">
        <v>27</v>
      </c>
      <c r="C70" s="175">
        <v>0.01</v>
      </c>
      <c r="D70" s="175"/>
      <c r="E70" s="175"/>
      <c r="F70" s="285">
        <f t="shared" si="7"/>
        <v>0</v>
      </c>
      <c r="G70" s="285"/>
      <c r="H70" s="285"/>
    </row>
    <row r="71" spans="1:8" ht="30" customHeight="1" x14ac:dyDescent="0.45">
      <c r="A71" s="283"/>
      <c r="B71" s="285" t="s">
        <v>28</v>
      </c>
      <c r="C71" s="175">
        <v>0.05</v>
      </c>
      <c r="D71" s="175">
        <v>1E-4</v>
      </c>
      <c r="E71" s="175"/>
      <c r="F71" s="285">
        <f t="shared" si="7"/>
        <v>0</v>
      </c>
      <c r="G71" s="285"/>
      <c r="H71" s="285"/>
    </row>
    <row r="72" spans="1:8" ht="30" customHeight="1" x14ac:dyDescent="0.45">
      <c r="A72" s="283"/>
      <c r="B72" s="285" t="s">
        <v>29</v>
      </c>
      <c r="C72" s="176">
        <v>1E-3</v>
      </c>
      <c r="D72" s="176"/>
      <c r="E72" s="176"/>
      <c r="F72" s="285">
        <f t="shared" si="7"/>
        <v>0</v>
      </c>
      <c r="G72" s="285"/>
      <c r="H72" s="285"/>
    </row>
    <row r="73" spans="1:8" ht="30" customHeight="1" thickBot="1" x14ac:dyDescent="0.5">
      <c r="A73" s="286"/>
      <c r="B73" s="287" t="s">
        <v>30</v>
      </c>
      <c r="C73" s="288"/>
      <c r="D73" s="180" t="s">
        <v>72</v>
      </c>
      <c r="E73" s="180"/>
      <c r="F73" s="287">
        <f>0.18*F67</f>
        <v>0</v>
      </c>
      <c r="G73" s="287"/>
      <c r="H73" s="287"/>
    </row>
    <row r="74" spans="1:8" ht="30" customHeight="1" thickBot="1" x14ac:dyDescent="0.5">
      <c r="A74" s="289"/>
      <c r="B74" s="290" t="s">
        <v>73</v>
      </c>
      <c r="C74" s="291"/>
      <c r="D74" s="292"/>
      <c r="E74" s="292"/>
      <c r="F74" s="293"/>
      <c r="G74" s="294"/>
      <c r="H74" s="295">
        <f>SUM(F66:F73)</f>
        <v>0</v>
      </c>
    </row>
    <row r="75" spans="1:8" ht="30" customHeight="1" thickBot="1" x14ac:dyDescent="0.45">
      <c r="A75" s="296"/>
      <c r="B75" s="297" t="s">
        <v>74</v>
      </c>
      <c r="C75" s="298"/>
      <c r="D75" s="299"/>
      <c r="E75" s="299"/>
      <c r="F75" s="300"/>
      <c r="G75" s="301"/>
      <c r="H75" s="302">
        <f>SUM(H74,H63)</f>
        <v>0</v>
      </c>
    </row>
    <row r="76" spans="1:8" ht="30" customHeight="1" x14ac:dyDescent="0.25">
      <c r="A76" s="303"/>
      <c r="B76" s="304"/>
      <c r="C76" s="305"/>
      <c r="D76" s="306"/>
      <c r="E76" s="306"/>
      <c r="F76" s="307"/>
      <c r="G76" s="228"/>
      <c r="H76" s="308"/>
    </row>
    <row r="77" spans="1:8" ht="30" customHeight="1" x14ac:dyDescent="0.25">
      <c r="A77" s="303"/>
      <c r="B77" s="304"/>
      <c r="C77" s="305"/>
      <c r="D77" s="306"/>
      <c r="E77" s="306"/>
      <c r="F77" s="307"/>
      <c r="G77" s="228"/>
      <c r="H77" s="308"/>
    </row>
    <row r="78" spans="1:8" ht="30" customHeight="1" x14ac:dyDescent="0.25">
      <c r="A78" s="303"/>
      <c r="B78" s="304"/>
      <c r="C78" s="305"/>
      <c r="D78" s="306"/>
      <c r="E78" s="306"/>
      <c r="F78" s="307"/>
      <c r="G78" s="228"/>
      <c r="H78" s="308"/>
    </row>
    <row r="79" spans="1:8" ht="30" customHeight="1" x14ac:dyDescent="0.25">
      <c r="A79" s="303"/>
      <c r="B79" s="304"/>
      <c r="C79" s="305"/>
      <c r="D79" s="306"/>
      <c r="E79" s="306"/>
      <c r="F79" s="307"/>
      <c r="G79" s="228"/>
      <c r="H79" s="308"/>
    </row>
    <row r="80" spans="1:8" ht="30" customHeight="1" x14ac:dyDescent="0.25">
      <c r="A80" s="303"/>
      <c r="B80" s="309"/>
      <c r="C80" s="305"/>
      <c r="D80" s="306"/>
      <c r="E80" s="310"/>
      <c r="F80" s="310"/>
      <c r="G80" s="310"/>
      <c r="H80" s="311"/>
    </row>
    <row r="81" spans="1:8" ht="30" customHeight="1" x14ac:dyDescent="0.5">
      <c r="A81" s="303"/>
      <c r="B81" s="312" t="s">
        <v>32</v>
      </c>
      <c r="C81" s="305"/>
      <c r="D81" s="306"/>
      <c r="E81" s="313" t="s">
        <v>33</v>
      </c>
      <c r="F81" s="313"/>
      <c r="G81" s="313"/>
      <c r="H81" s="314"/>
    </row>
    <row r="82" spans="1:8" ht="30" customHeight="1" x14ac:dyDescent="0.25">
      <c r="A82" s="303"/>
      <c r="B82" s="304"/>
      <c r="C82" s="305"/>
      <c r="D82" s="306"/>
      <c r="E82" s="306"/>
      <c r="F82" s="307"/>
      <c r="G82" s="228"/>
      <c r="H82" s="308"/>
    </row>
    <row r="83" spans="1:8" ht="30" customHeight="1" x14ac:dyDescent="0.25">
      <c r="A83" s="303"/>
      <c r="B83" s="304"/>
      <c r="C83" s="305"/>
      <c r="D83" s="306"/>
      <c r="E83" s="306"/>
      <c r="F83" s="307"/>
      <c r="G83" s="228"/>
      <c r="H83" s="308"/>
    </row>
    <row r="84" spans="1:8" x14ac:dyDescent="0.25">
      <c r="A84" s="315"/>
      <c r="B84" s="309"/>
      <c r="C84" s="316"/>
      <c r="D84" s="317"/>
      <c r="E84" s="317"/>
      <c r="F84" s="318"/>
      <c r="G84" s="319"/>
      <c r="H84" s="320"/>
    </row>
  </sheetData>
  <mergeCells count="40">
    <mergeCell ref="C72:E72"/>
    <mergeCell ref="D73:E73"/>
    <mergeCell ref="E80:H80"/>
    <mergeCell ref="E81:H81"/>
    <mergeCell ref="C66:E66"/>
    <mergeCell ref="C67:E67"/>
    <mergeCell ref="C68:E68"/>
    <mergeCell ref="C69:E69"/>
    <mergeCell ref="C70:E70"/>
    <mergeCell ref="C71:E71"/>
    <mergeCell ref="B55:G55"/>
    <mergeCell ref="H56:H61"/>
    <mergeCell ref="A62:H62"/>
    <mergeCell ref="D63:G63"/>
    <mergeCell ref="A64:H64"/>
    <mergeCell ref="C65:E65"/>
    <mergeCell ref="B41:G41"/>
    <mergeCell ref="H42:H48"/>
    <mergeCell ref="A49:H49"/>
    <mergeCell ref="B50:G50"/>
    <mergeCell ref="H51:H53"/>
    <mergeCell ref="A54:H54"/>
    <mergeCell ref="A22:H22"/>
    <mergeCell ref="B23:G23"/>
    <mergeCell ref="H24:H28"/>
    <mergeCell ref="A29:H29"/>
    <mergeCell ref="H31:H39"/>
    <mergeCell ref="A40:H40"/>
    <mergeCell ref="A8:H8"/>
    <mergeCell ref="A10:H10"/>
    <mergeCell ref="A12:H12"/>
    <mergeCell ref="H14:H15"/>
    <mergeCell ref="B17:G17"/>
    <mergeCell ref="H18:H21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BF74-278F-41C0-B427-14EBE1086D72}">
  <dimension ref="A1:P91"/>
  <sheetViews>
    <sheetView zoomScale="50" zoomScaleNormal="50" workbookViewId="0">
      <selection activeCell="B83" sqref="B83:H83"/>
    </sheetView>
  </sheetViews>
  <sheetFormatPr baseColWidth="10" defaultColWidth="9.109375" defaultRowHeight="13.8" x14ac:dyDescent="0.25"/>
  <cols>
    <col min="1" max="1" width="13.44140625" style="10" bestFit="1" customWidth="1"/>
    <col min="2" max="2" width="89.33203125" style="13" customWidth="1"/>
    <col min="3" max="3" width="25.109375" style="383" hidden="1" customWidth="1"/>
    <col min="4" max="4" width="18.33203125" style="15" bestFit="1" customWidth="1"/>
    <col min="5" max="5" width="11" style="15" bestFit="1" customWidth="1"/>
    <col min="6" max="6" width="22.33203125" style="16" bestFit="1" customWidth="1"/>
    <col min="7" max="7" width="28.88671875" style="1" customWidth="1"/>
    <col min="8" max="8" width="30.21875" style="17" customWidth="1"/>
    <col min="9" max="9" width="37.5546875" style="17" hidden="1" customWidth="1"/>
    <col min="10" max="10" width="0.88671875" style="1" hidden="1" customWidth="1"/>
    <col min="11" max="11" width="20.44140625" style="1" hidden="1" customWidth="1"/>
    <col min="12" max="12" width="18.6640625" style="1" hidden="1" customWidth="1"/>
    <col min="13" max="13" width="36.109375" style="1" hidden="1" customWidth="1"/>
    <col min="14" max="15" width="9.109375" style="1"/>
    <col min="16" max="16" width="11.44140625" style="1" customWidth="1"/>
    <col min="17" max="17" width="9.109375" style="1"/>
    <col min="18" max="18" width="13.109375" style="1" bestFit="1" customWidth="1"/>
    <col min="19" max="16384" width="9.109375" style="1"/>
  </cols>
  <sheetData>
    <row r="1" spans="1:13" ht="25.2" x14ac:dyDescent="0.45">
      <c r="A1" s="127"/>
      <c r="B1" s="128"/>
      <c r="C1" s="321"/>
      <c r="D1" s="130"/>
      <c r="E1" s="130"/>
      <c r="F1" s="131"/>
      <c r="G1" s="132"/>
      <c r="H1" s="133"/>
      <c r="I1" s="133"/>
    </row>
    <row r="2" spans="1:13" s="135" customFormat="1" ht="24.75" customHeight="1" x14ac:dyDescent="0.5">
      <c r="A2" s="134" t="s">
        <v>34</v>
      </c>
      <c r="B2" s="134"/>
      <c r="C2" s="134"/>
      <c r="D2" s="134"/>
      <c r="E2" s="134"/>
      <c r="F2" s="134"/>
      <c r="G2" s="134"/>
      <c r="H2" s="134"/>
      <c r="I2" s="322"/>
    </row>
    <row r="3" spans="1:13" s="135" customFormat="1" ht="24.75" customHeight="1" x14ac:dyDescent="0.5">
      <c r="A3" s="134" t="s">
        <v>35</v>
      </c>
      <c r="B3" s="134"/>
      <c r="C3" s="134"/>
      <c r="D3" s="134"/>
      <c r="E3" s="134"/>
      <c r="F3" s="134"/>
      <c r="G3" s="134"/>
      <c r="H3" s="134"/>
      <c r="I3" s="322"/>
    </row>
    <row r="4" spans="1:13" s="135" customFormat="1" ht="24.75" customHeight="1" x14ac:dyDescent="0.5">
      <c r="A4" s="134" t="s">
        <v>36</v>
      </c>
      <c r="B4" s="134"/>
      <c r="C4" s="134"/>
      <c r="D4" s="134"/>
      <c r="E4" s="134"/>
      <c r="F4" s="134"/>
      <c r="G4" s="134"/>
      <c r="H4" s="134"/>
      <c r="I4" s="322"/>
    </row>
    <row r="5" spans="1:13" s="135" customFormat="1" ht="24.75" customHeight="1" x14ac:dyDescent="0.3">
      <c r="A5" s="136" t="s">
        <v>125</v>
      </c>
      <c r="B5" s="136"/>
      <c r="C5" s="136"/>
      <c r="D5" s="136"/>
      <c r="E5" s="136"/>
      <c r="F5" s="136"/>
      <c r="G5" s="136"/>
      <c r="H5" s="136"/>
      <c r="I5" s="322"/>
    </row>
    <row r="6" spans="1:13" customFormat="1" ht="25.8" x14ac:dyDescent="0.3">
      <c r="A6" s="323"/>
      <c r="B6" s="323"/>
      <c r="C6" s="323"/>
      <c r="D6" s="323"/>
      <c r="E6" s="323"/>
      <c r="F6" s="323"/>
      <c r="G6" s="323"/>
      <c r="H6" s="323"/>
      <c r="I6" s="324"/>
    </row>
    <row r="7" spans="1:13" customFormat="1" ht="26.25" customHeight="1" x14ac:dyDescent="0.3">
      <c r="A7" s="142" t="s">
        <v>37</v>
      </c>
      <c r="B7" s="142"/>
      <c r="C7" s="142"/>
      <c r="D7" s="142"/>
      <c r="E7" s="142"/>
      <c r="F7" s="142"/>
      <c r="G7" s="142"/>
      <c r="H7" s="142"/>
      <c r="I7" s="324"/>
    </row>
    <row r="8" spans="1:13" ht="13.5" customHeight="1" thickBot="1" x14ac:dyDescent="0.3">
      <c r="A8" s="325"/>
      <c r="B8" s="325"/>
      <c r="C8" s="325"/>
      <c r="D8" s="325"/>
      <c r="E8" s="325"/>
      <c r="F8" s="325"/>
      <c r="G8" s="325"/>
      <c r="H8" s="325"/>
      <c r="I8" s="326"/>
    </row>
    <row r="9" spans="1:13" ht="51" customHeight="1" thickBot="1" x14ac:dyDescent="0.3">
      <c r="A9" s="26" t="s">
        <v>0</v>
      </c>
      <c r="B9" s="27" t="s">
        <v>6</v>
      </c>
      <c r="C9" s="27" t="s">
        <v>22</v>
      </c>
      <c r="D9" s="29" t="s">
        <v>21</v>
      </c>
      <c r="E9" s="29" t="s">
        <v>1</v>
      </c>
      <c r="F9" s="29" t="s">
        <v>2</v>
      </c>
      <c r="G9" s="29" t="s">
        <v>3</v>
      </c>
      <c r="H9" s="30" t="s">
        <v>4</v>
      </c>
      <c r="I9" s="327" t="s">
        <v>126</v>
      </c>
      <c r="K9" s="1" t="s">
        <v>7</v>
      </c>
      <c r="L9" s="1" t="s">
        <v>8</v>
      </c>
      <c r="M9" s="1" t="s">
        <v>9</v>
      </c>
    </row>
    <row r="10" spans="1:13" ht="15" customHeight="1" thickBot="1" x14ac:dyDescent="0.3">
      <c r="A10" s="328"/>
      <c r="B10" s="329"/>
      <c r="C10" s="329"/>
      <c r="D10" s="329"/>
      <c r="E10" s="329"/>
      <c r="F10" s="329"/>
      <c r="G10" s="329"/>
      <c r="H10" s="330"/>
      <c r="I10" s="326"/>
      <c r="J10" s="1" t="s">
        <v>10</v>
      </c>
      <c r="K10" s="1">
        <f>39600+29750+38700+28500+45900+32300+96000+35000</f>
        <v>345750</v>
      </c>
      <c r="L10" s="1">
        <v>300000</v>
      </c>
      <c r="M10" s="1">
        <v>368000</v>
      </c>
    </row>
    <row r="11" spans="1:13" ht="25.2" thickBot="1" x14ac:dyDescent="0.45">
      <c r="A11" s="331">
        <v>1</v>
      </c>
      <c r="B11" s="332" t="s">
        <v>13</v>
      </c>
      <c r="C11" s="333"/>
      <c r="D11" s="334"/>
      <c r="E11" s="334"/>
      <c r="F11" s="334"/>
      <c r="G11" s="334"/>
      <c r="H11" s="335">
        <f>SUM(G12:G12)</f>
        <v>0</v>
      </c>
      <c r="I11" s="335">
        <f>+H11</f>
        <v>0</v>
      </c>
      <c r="J11" s="1" t="s">
        <v>11</v>
      </c>
      <c r="K11" s="1">
        <f>62100+5520+11675+3500</f>
        <v>82795</v>
      </c>
      <c r="M11" s="1">
        <f>116000</f>
        <v>116000</v>
      </c>
    </row>
    <row r="12" spans="1:13" ht="25.2" x14ac:dyDescent="0.25">
      <c r="A12" s="234">
        <v>1.01</v>
      </c>
      <c r="B12" s="336" t="s">
        <v>127</v>
      </c>
      <c r="C12" s="337"/>
      <c r="D12" s="236">
        <v>4</v>
      </c>
      <c r="E12" s="338" t="s">
        <v>12</v>
      </c>
      <c r="F12" s="238"/>
      <c r="G12" s="226">
        <f t="shared" ref="G12" si="0">D12*F12</f>
        <v>0</v>
      </c>
      <c r="H12" s="339"/>
      <c r="I12" s="339"/>
    </row>
    <row r="13" spans="1:13" ht="21" customHeight="1" thickBot="1" x14ac:dyDescent="0.3">
      <c r="A13" s="127"/>
      <c r="B13" s="340"/>
      <c r="C13" s="341"/>
      <c r="D13" s="342"/>
      <c r="E13" s="157"/>
      <c r="F13" s="342"/>
      <c r="G13" s="164"/>
      <c r="H13" s="343"/>
      <c r="I13" s="343"/>
    </row>
    <row r="14" spans="1:13" ht="25.2" thickBot="1" x14ac:dyDescent="0.3">
      <c r="A14" s="344">
        <v>2</v>
      </c>
      <c r="B14" s="345" t="s">
        <v>77</v>
      </c>
      <c r="C14" s="346"/>
      <c r="D14" s="347"/>
      <c r="E14" s="347"/>
      <c r="F14" s="347"/>
      <c r="G14" s="347"/>
      <c r="H14" s="348">
        <f>SUM(G15:G16)</f>
        <v>0</v>
      </c>
      <c r="I14" s="349">
        <f>+H14</f>
        <v>0</v>
      </c>
    </row>
    <row r="15" spans="1:13" ht="25.8" x14ac:dyDescent="0.25">
      <c r="A15" s="143">
        <v>2.0099999999999998</v>
      </c>
      <c r="B15" s="350" t="s">
        <v>128</v>
      </c>
      <c r="C15" s="351">
        <f>75.63+C62</f>
        <v>308.06400000000002</v>
      </c>
      <c r="D15" s="352">
        <v>97.5</v>
      </c>
      <c r="E15" s="144" t="s">
        <v>39</v>
      </c>
      <c r="F15" s="42"/>
      <c r="G15" s="47">
        <f>D15*F15</f>
        <v>0</v>
      </c>
      <c r="H15" s="391"/>
      <c r="I15" s="353"/>
    </row>
    <row r="16" spans="1:13" ht="33" customHeight="1" x14ac:dyDescent="0.25">
      <c r="A16" s="143">
        <f>+A15+0.01</f>
        <v>2.0199999999999996</v>
      </c>
      <c r="B16" s="350" t="s">
        <v>129</v>
      </c>
      <c r="C16" s="354">
        <f>+(2.3+2.3+3.3)*3.3</f>
        <v>26.069999999999997</v>
      </c>
      <c r="D16" s="352">
        <v>26.07</v>
      </c>
      <c r="E16" s="144" t="s">
        <v>39</v>
      </c>
      <c r="F16" s="42"/>
      <c r="G16" s="47">
        <f>D16*F16</f>
        <v>0</v>
      </c>
      <c r="H16" s="392"/>
      <c r="I16" s="353"/>
    </row>
    <row r="17" spans="1:16" ht="58.2" customHeight="1" x14ac:dyDescent="0.25">
      <c r="A17" s="143">
        <f>+A16+0.01</f>
        <v>2.0299999999999994</v>
      </c>
      <c r="B17" s="355" t="s">
        <v>130</v>
      </c>
      <c r="C17" s="354">
        <f>+(2.3+2.3+3.3)*3.3</f>
        <v>26.069999999999997</v>
      </c>
      <c r="D17" s="352">
        <v>1</v>
      </c>
      <c r="E17" s="144" t="s">
        <v>131</v>
      </c>
      <c r="F17" s="42"/>
      <c r="G17" s="47">
        <f>D17*F17</f>
        <v>0</v>
      </c>
      <c r="H17" s="393"/>
      <c r="I17" s="356"/>
    </row>
    <row r="18" spans="1:16" ht="12.75" customHeight="1" thickBot="1" x14ac:dyDescent="0.3">
      <c r="A18" s="357"/>
      <c r="B18" s="357"/>
      <c r="C18" s="357"/>
      <c r="D18" s="357"/>
      <c r="E18" s="357"/>
      <c r="F18" s="357"/>
      <c r="G18" s="357"/>
      <c r="H18" s="357"/>
      <c r="I18" s="326"/>
    </row>
    <row r="19" spans="1:16" ht="26.25" customHeight="1" thickBot="1" x14ac:dyDescent="0.3">
      <c r="A19" s="331">
        <v>3</v>
      </c>
      <c r="B19" s="358" t="s">
        <v>81</v>
      </c>
      <c r="C19" s="359"/>
      <c r="D19" s="359"/>
      <c r="E19" s="359"/>
      <c r="F19" s="359"/>
      <c r="G19" s="360"/>
      <c r="H19" s="349">
        <f>SUM(G20:G21)</f>
        <v>0</v>
      </c>
      <c r="I19" s="349">
        <f>+H19</f>
        <v>0</v>
      </c>
    </row>
    <row r="20" spans="1:16" s="228" customFormat="1" ht="30.75" customHeight="1" x14ac:dyDescent="0.25">
      <c r="A20" s="234">
        <f>+A19+0.01</f>
        <v>3.01</v>
      </c>
      <c r="B20" s="154" t="s">
        <v>132</v>
      </c>
      <c r="C20" s="361">
        <v>7.92</v>
      </c>
      <c r="D20" s="236">
        <v>8</v>
      </c>
      <c r="E20" s="257" t="s">
        <v>79</v>
      </c>
      <c r="F20" s="239"/>
      <c r="G20" s="226">
        <f>D20*F20</f>
        <v>0</v>
      </c>
      <c r="H20" s="389"/>
      <c r="I20" s="363"/>
    </row>
    <row r="21" spans="1:16" ht="60" customHeight="1" x14ac:dyDescent="0.25">
      <c r="A21" s="143">
        <f>+A20+0.01</f>
        <v>3.0199999999999996</v>
      </c>
      <c r="B21" s="155" t="s">
        <v>133</v>
      </c>
      <c r="C21" s="364">
        <f>+(2.3+2.3+2.3+2.3+0.7+0.7+1.6+1.6)*2</f>
        <v>27.599999999999994</v>
      </c>
      <c r="D21" s="352">
        <v>27.6</v>
      </c>
      <c r="E21" s="144" t="s">
        <v>39</v>
      </c>
      <c r="F21" s="145"/>
      <c r="G21" s="47">
        <f>D21*F21</f>
        <v>0</v>
      </c>
      <c r="H21" s="387"/>
      <c r="I21" s="365"/>
    </row>
    <row r="22" spans="1:16" ht="60" customHeight="1" x14ac:dyDescent="0.25">
      <c r="A22" s="143">
        <f>+A21+0.01</f>
        <v>3.0299999999999994</v>
      </c>
      <c r="B22" s="155" t="s">
        <v>134</v>
      </c>
      <c r="C22" s="364">
        <f>+(2.3+2.3+2.3+2.3+0.7+0.7+1.6+1.6)*2</f>
        <v>27.599999999999994</v>
      </c>
      <c r="D22" s="352">
        <f>32.5*1.3</f>
        <v>42.25</v>
      </c>
      <c r="E22" s="144" t="s">
        <v>135</v>
      </c>
      <c r="F22" s="145"/>
      <c r="G22" s="47">
        <f>D22*F22</f>
        <v>0</v>
      </c>
      <c r="H22" s="390"/>
      <c r="I22" s="99"/>
    </row>
    <row r="23" spans="1:16" ht="12" customHeight="1" thickBot="1" x14ac:dyDescent="0.3">
      <c r="A23" s="110"/>
      <c r="B23" s="110"/>
      <c r="C23" s="110"/>
      <c r="D23" s="110"/>
      <c r="E23" s="110"/>
      <c r="F23" s="110"/>
      <c r="G23" s="110"/>
      <c r="H23" s="110"/>
      <c r="I23" s="326"/>
    </row>
    <row r="24" spans="1:16" ht="25.2" thickBot="1" x14ac:dyDescent="0.3">
      <c r="A24" s="331">
        <v>4</v>
      </c>
      <c r="B24" s="358" t="s">
        <v>86</v>
      </c>
      <c r="C24" s="359"/>
      <c r="D24" s="359"/>
      <c r="E24" s="359"/>
      <c r="F24" s="359"/>
      <c r="G24" s="360"/>
      <c r="H24" s="348">
        <f>SUM(G25:G29)</f>
        <v>0</v>
      </c>
      <c r="I24" s="348">
        <f>+H24</f>
        <v>0</v>
      </c>
    </row>
    <row r="25" spans="1:16" ht="57.75" customHeight="1" x14ac:dyDescent="0.25">
      <c r="A25" s="234">
        <f>+A24+0.01</f>
        <v>4.01</v>
      </c>
      <c r="B25" s="154" t="s">
        <v>136</v>
      </c>
      <c r="C25" s="366"/>
      <c r="D25" s="236">
        <v>2</v>
      </c>
      <c r="E25" s="257" t="s">
        <v>12</v>
      </c>
      <c r="F25" s="239"/>
      <c r="G25" s="226">
        <f>D25*F25</f>
        <v>0</v>
      </c>
      <c r="H25" s="109"/>
      <c r="I25" s="109"/>
    </row>
    <row r="26" spans="1:16" ht="39.75" customHeight="1" x14ac:dyDescent="0.25">
      <c r="A26" s="234">
        <f>+A25+0.01</f>
        <v>4.0199999999999996</v>
      </c>
      <c r="B26" s="154" t="s">
        <v>137</v>
      </c>
      <c r="C26" s="366"/>
      <c r="D26" s="236">
        <v>2</v>
      </c>
      <c r="E26" s="257" t="s">
        <v>12</v>
      </c>
      <c r="F26" s="239"/>
      <c r="G26" s="226">
        <f>D26*F26</f>
        <v>0</v>
      </c>
      <c r="H26" s="367"/>
      <c r="I26" s="367"/>
    </row>
    <row r="27" spans="1:16" ht="53.25" customHeight="1" x14ac:dyDescent="0.25">
      <c r="A27" s="143">
        <f t="shared" ref="A27:A29" si="1">+A26+0.01</f>
        <v>4.0299999999999994</v>
      </c>
      <c r="B27" s="154" t="s">
        <v>138</v>
      </c>
      <c r="C27" s="364"/>
      <c r="D27" s="352">
        <v>4</v>
      </c>
      <c r="E27" s="144" t="s">
        <v>12</v>
      </c>
      <c r="F27" s="145"/>
      <c r="G27" s="47">
        <f>D27*F27</f>
        <v>0</v>
      </c>
      <c r="H27" s="367"/>
      <c r="I27" s="367"/>
      <c r="P27" s="17"/>
    </row>
    <row r="28" spans="1:16" ht="63.75" customHeight="1" x14ac:dyDescent="0.25">
      <c r="A28" s="368">
        <f t="shared" si="1"/>
        <v>4.0399999999999991</v>
      </c>
      <c r="B28" s="154" t="s">
        <v>139</v>
      </c>
      <c r="C28" s="364">
        <f>+C24*2*0.85*10.76</f>
        <v>0</v>
      </c>
      <c r="D28" s="352">
        <f>0.8*2*10.76*4</f>
        <v>68.864000000000004</v>
      </c>
      <c r="E28" s="144" t="s">
        <v>140</v>
      </c>
      <c r="F28" s="145"/>
      <c r="G28" s="47">
        <f t="shared" ref="G28:G29" si="2">D28*F28</f>
        <v>0</v>
      </c>
      <c r="H28" s="367"/>
      <c r="I28" s="367"/>
      <c r="P28" s="17"/>
    </row>
    <row r="29" spans="1:16" ht="135.75" customHeight="1" x14ac:dyDescent="0.25">
      <c r="A29" s="368">
        <f t="shared" si="1"/>
        <v>4.0499999999999989</v>
      </c>
      <c r="B29" s="369" t="s">
        <v>141</v>
      </c>
      <c r="C29" s="364">
        <f>+C25*2*0.85*10.76</f>
        <v>0</v>
      </c>
      <c r="D29" s="352">
        <v>94.12</v>
      </c>
      <c r="E29" s="144" t="s">
        <v>140</v>
      </c>
      <c r="F29" s="145"/>
      <c r="G29" s="47">
        <f t="shared" si="2"/>
        <v>0</v>
      </c>
      <c r="H29" s="367"/>
      <c r="I29" s="367"/>
      <c r="P29" s="17"/>
    </row>
    <row r="30" spans="1:16" ht="12" customHeight="1" thickBot="1" x14ac:dyDescent="0.3">
      <c r="A30" s="110"/>
      <c r="B30" s="110"/>
      <c r="C30" s="110"/>
      <c r="D30" s="110"/>
      <c r="E30" s="110"/>
      <c r="F30" s="110"/>
      <c r="G30" s="110"/>
      <c r="H30" s="110"/>
      <c r="I30" s="326"/>
    </row>
    <row r="31" spans="1:16" ht="31.5" customHeight="1" thickBot="1" x14ac:dyDescent="0.3">
      <c r="A31" s="331">
        <v>6</v>
      </c>
      <c r="B31" s="358" t="s">
        <v>41</v>
      </c>
      <c r="C31" s="359"/>
      <c r="D31" s="359"/>
      <c r="E31" s="359"/>
      <c r="F31" s="359"/>
      <c r="G31" s="360"/>
      <c r="H31" s="348">
        <f>SUM(G32:G32)</f>
        <v>0</v>
      </c>
      <c r="I31" s="348">
        <f>+H31</f>
        <v>0</v>
      </c>
    </row>
    <row r="32" spans="1:16" s="228" customFormat="1" ht="58.5" customHeight="1" x14ac:dyDescent="0.25">
      <c r="A32" s="234">
        <f>+A31+0.01</f>
        <v>6.01</v>
      </c>
      <c r="B32" s="154" t="s">
        <v>142</v>
      </c>
      <c r="C32" s="361">
        <f>+(69+113)*1.05</f>
        <v>191.1</v>
      </c>
      <c r="D32" s="236">
        <v>191</v>
      </c>
      <c r="E32" s="257" t="s">
        <v>79</v>
      </c>
      <c r="F32" s="239"/>
      <c r="G32" s="226">
        <f>D32*F32</f>
        <v>0</v>
      </c>
      <c r="H32" s="370"/>
      <c r="I32" s="370"/>
    </row>
    <row r="33" spans="1:9" ht="16.5" customHeight="1" thickBot="1" x14ac:dyDescent="0.3">
      <c r="A33" s="110"/>
      <c r="B33" s="110"/>
      <c r="C33" s="110"/>
      <c r="D33" s="110"/>
      <c r="E33" s="110"/>
      <c r="F33" s="110"/>
      <c r="G33" s="110"/>
      <c r="H33" s="110"/>
      <c r="I33" s="326"/>
    </row>
    <row r="34" spans="1:9" ht="32.25" customHeight="1" thickBot="1" x14ac:dyDescent="0.3">
      <c r="A34" s="331">
        <v>7</v>
      </c>
      <c r="B34" s="371" t="s">
        <v>94</v>
      </c>
      <c r="C34" s="346"/>
      <c r="D34" s="347"/>
      <c r="E34" s="347"/>
      <c r="F34" s="347"/>
      <c r="G34" s="347"/>
      <c r="H34" s="348">
        <f>SUM(G35:G49)</f>
        <v>0</v>
      </c>
      <c r="I34" s="348">
        <f>+H34</f>
        <v>0</v>
      </c>
    </row>
    <row r="35" spans="1:9" ht="17.25" customHeight="1" x14ac:dyDescent="0.25">
      <c r="A35" s="372"/>
      <c r="B35" s="373"/>
      <c r="C35" s="366"/>
      <c r="D35" s="374"/>
      <c r="E35" s="375"/>
      <c r="F35" s="376"/>
      <c r="G35" s="377"/>
      <c r="H35" s="367"/>
      <c r="I35" s="367"/>
    </row>
    <row r="36" spans="1:9" s="228" customFormat="1" ht="50.4" x14ac:dyDescent="0.25">
      <c r="A36" s="234">
        <f>+A34+0.01</f>
        <v>7.01</v>
      </c>
      <c r="B36" s="154" t="s">
        <v>143</v>
      </c>
      <c r="C36" s="361"/>
      <c r="D36" s="236">
        <v>2</v>
      </c>
      <c r="E36" s="257" t="s">
        <v>12</v>
      </c>
      <c r="F36" s="239"/>
      <c r="G36" s="226">
        <f t="shared" ref="G36:G48" si="3">D36*F36</f>
        <v>0</v>
      </c>
      <c r="H36" s="367"/>
      <c r="I36" s="367"/>
    </row>
    <row r="37" spans="1:9" s="228" customFormat="1" ht="75.599999999999994" x14ac:dyDescent="0.25">
      <c r="A37" s="234">
        <f t="shared" ref="A37:A49" si="4">+A36+0.01</f>
        <v>7.02</v>
      </c>
      <c r="B37" s="154" t="s">
        <v>144</v>
      </c>
      <c r="C37" s="361">
        <f>(1.3+3.6+3.3+2.19)*1.1</f>
        <v>11.429</v>
      </c>
      <c r="D37" s="236">
        <v>12</v>
      </c>
      <c r="E37" s="257" t="s">
        <v>135</v>
      </c>
      <c r="F37" s="239"/>
      <c r="G37" s="226">
        <f t="shared" si="3"/>
        <v>0</v>
      </c>
      <c r="H37" s="367"/>
      <c r="I37" s="367"/>
    </row>
    <row r="38" spans="1:9" s="228" customFormat="1" ht="60" customHeight="1" x14ac:dyDescent="0.25">
      <c r="A38" s="234">
        <f t="shared" si="4"/>
        <v>7.0299999999999994</v>
      </c>
      <c r="B38" s="154" t="s">
        <v>145</v>
      </c>
      <c r="C38" s="361">
        <f>(1.3+3.6+3.3+3.19)*1.1</f>
        <v>12.529</v>
      </c>
      <c r="D38" s="236">
        <v>13</v>
      </c>
      <c r="E38" s="257" t="s">
        <v>135</v>
      </c>
      <c r="F38" s="239"/>
      <c r="G38" s="226">
        <f t="shared" si="3"/>
        <v>0</v>
      </c>
      <c r="H38" s="367"/>
      <c r="I38" s="367"/>
    </row>
    <row r="39" spans="1:9" s="228" customFormat="1" ht="44.25" customHeight="1" x14ac:dyDescent="0.25">
      <c r="A39" s="234">
        <f t="shared" si="4"/>
        <v>7.0399999999999991</v>
      </c>
      <c r="B39" s="154" t="s">
        <v>97</v>
      </c>
      <c r="C39" s="361">
        <f>(3.6+3.6+2.19)*1.1</f>
        <v>10.329000000000001</v>
      </c>
      <c r="D39" s="236">
        <v>10.5</v>
      </c>
      <c r="E39" s="257" t="s">
        <v>135</v>
      </c>
      <c r="F39" s="239"/>
      <c r="G39" s="226">
        <f t="shared" si="3"/>
        <v>0</v>
      </c>
      <c r="H39" s="367"/>
      <c r="I39" s="367"/>
    </row>
    <row r="40" spans="1:9" s="228" customFormat="1" ht="60" customHeight="1" x14ac:dyDescent="0.25">
      <c r="A40" s="234">
        <f t="shared" si="4"/>
        <v>7.0499999999999989</v>
      </c>
      <c r="B40" s="154" t="s">
        <v>99</v>
      </c>
      <c r="C40" s="361"/>
      <c r="D40" s="236">
        <v>1</v>
      </c>
      <c r="E40" s="257" t="s">
        <v>12</v>
      </c>
      <c r="F40" s="239"/>
      <c r="G40" s="226">
        <f t="shared" si="3"/>
        <v>0</v>
      </c>
      <c r="H40" s="367"/>
      <c r="I40" s="367"/>
    </row>
    <row r="41" spans="1:9" s="228" customFormat="1" ht="62.25" customHeight="1" x14ac:dyDescent="0.25">
      <c r="A41" s="234">
        <f t="shared" si="4"/>
        <v>7.0599999999999987</v>
      </c>
      <c r="B41" s="154" t="s">
        <v>146</v>
      </c>
      <c r="C41" s="361"/>
      <c r="D41" s="236">
        <v>2</v>
      </c>
      <c r="E41" s="257" t="s">
        <v>12</v>
      </c>
      <c r="F41" s="239"/>
      <c r="G41" s="226">
        <f t="shared" si="3"/>
        <v>0</v>
      </c>
      <c r="H41" s="367"/>
      <c r="I41" s="367"/>
    </row>
    <row r="42" spans="1:9" s="228" customFormat="1" ht="50.4" x14ac:dyDescent="0.25">
      <c r="A42" s="234">
        <f t="shared" si="4"/>
        <v>7.0699999999999985</v>
      </c>
      <c r="B42" s="154" t="s">
        <v>146</v>
      </c>
      <c r="C42" s="361"/>
      <c r="D42" s="236">
        <v>2</v>
      </c>
      <c r="E42" s="257" t="s">
        <v>12</v>
      </c>
      <c r="F42" s="239"/>
      <c r="G42" s="226">
        <f t="shared" si="3"/>
        <v>0</v>
      </c>
      <c r="H42" s="367"/>
      <c r="I42" s="367"/>
    </row>
    <row r="43" spans="1:9" s="228" customFormat="1" ht="50.4" x14ac:dyDescent="0.25">
      <c r="A43" s="234">
        <f t="shared" si="4"/>
        <v>7.0799999999999983</v>
      </c>
      <c r="B43" s="154" t="s">
        <v>147</v>
      </c>
      <c r="C43" s="361">
        <v>2</v>
      </c>
      <c r="D43" s="236">
        <v>2</v>
      </c>
      <c r="E43" s="257" t="s">
        <v>12</v>
      </c>
      <c r="F43" s="239"/>
      <c r="G43" s="226">
        <f t="shared" si="3"/>
        <v>0</v>
      </c>
      <c r="H43" s="367"/>
      <c r="I43" s="367"/>
    </row>
    <row r="44" spans="1:9" s="228" customFormat="1" ht="59.25" customHeight="1" x14ac:dyDescent="0.25">
      <c r="A44" s="234">
        <f t="shared" si="4"/>
        <v>7.0899999999999981</v>
      </c>
      <c r="B44" s="154" t="s">
        <v>148</v>
      </c>
      <c r="C44" s="361">
        <v>2</v>
      </c>
      <c r="D44" s="236">
        <v>2</v>
      </c>
      <c r="E44" s="257" t="s">
        <v>12</v>
      </c>
      <c r="F44" s="239"/>
      <c r="G44" s="226">
        <f t="shared" si="3"/>
        <v>0</v>
      </c>
      <c r="H44" s="367"/>
      <c r="I44" s="367"/>
    </row>
    <row r="45" spans="1:9" ht="50.4" x14ac:dyDescent="0.25">
      <c r="A45" s="143">
        <f t="shared" si="4"/>
        <v>7.0999999999999979</v>
      </c>
      <c r="B45" s="154" t="s">
        <v>149</v>
      </c>
      <c r="C45" s="364">
        <v>4</v>
      </c>
      <c r="D45" s="352">
        <v>4</v>
      </c>
      <c r="E45" s="144" t="s">
        <v>12</v>
      </c>
      <c r="F45" s="145"/>
      <c r="G45" s="47">
        <f t="shared" si="3"/>
        <v>0</v>
      </c>
      <c r="H45" s="367"/>
      <c r="I45" s="367"/>
    </row>
    <row r="46" spans="1:9" ht="50.4" x14ac:dyDescent="0.25">
      <c r="A46" s="143">
        <f t="shared" si="4"/>
        <v>7.1099999999999977</v>
      </c>
      <c r="B46" s="154" t="s">
        <v>150</v>
      </c>
      <c r="C46" s="364">
        <v>4</v>
      </c>
      <c r="D46" s="352">
        <v>4</v>
      </c>
      <c r="E46" s="144" t="s">
        <v>12</v>
      </c>
      <c r="F46" s="145"/>
      <c r="G46" s="47">
        <f t="shared" si="3"/>
        <v>0</v>
      </c>
      <c r="H46" s="367"/>
      <c r="I46" s="367"/>
    </row>
    <row r="47" spans="1:9" ht="50.4" x14ac:dyDescent="0.25">
      <c r="A47" s="143">
        <f t="shared" si="4"/>
        <v>7.1199999999999974</v>
      </c>
      <c r="B47" s="154" t="s">
        <v>151</v>
      </c>
      <c r="C47" s="364">
        <v>4</v>
      </c>
      <c r="D47" s="352">
        <v>4</v>
      </c>
      <c r="E47" s="144" t="s">
        <v>12</v>
      </c>
      <c r="F47" s="145"/>
      <c r="G47" s="47">
        <f t="shared" si="3"/>
        <v>0</v>
      </c>
      <c r="H47" s="367"/>
      <c r="I47" s="367"/>
    </row>
    <row r="48" spans="1:9" customFormat="1" ht="25.2" x14ac:dyDescent="0.3">
      <c r="A48" s="143">
        <f t="shared" si="4"/>
        <v>7.1299999999999972</v>
      </c>
      <c r="B48" s="154" t="s">
        <v>152</v>
      </c>
      <c r="C48" s="364">
        <v>4</v>
      </c>
      <c r="D48" s="352">
        <v>4</v>
      </c>
      <c r="E48" s="144" t="s">
        <v>12</v>
      </c>
      <c r="F48" s="145"/>
      <c r="G48" s="47">
        <f t="shared" si="3"/>
        <v>0</v>
      </c>
      <c r="H48" s="367"/>
      <c r="I48" s="367"/>
    </row>
    <row r="49" spans="1:9" customFormat="1" ht="80.25" customHeight="1" x14ac:dyDescent="0.3">
      <c r="A49" s="143">
        <f t="shared" si="4"/>
        <v>7.139999999999997</v>
      </c>
      <c r="B49" s="154" t="s">
        <v>153</v>
      </c>
      <c r="C49" s="364">
        <v>2</v>
      </c>
      <c r="D49" s="352">
        <v>2</v>
      </c>
      <c r="E49" s="144" t="s">
        <v>12</v>
      </c>
      <c r="F49" s="145"/>
      <c r="G49" s="47">
        <f>D49*F49</f>
        <v>0</v>
      </c>
      <c r="H49" s="367"/>
      <c r="I49" s="367"/>
    </row>
    <row r="50" spans="1:9" customFormat="1" ht="15" customHeight="1" thickBot="1" x14ac:dyDescent="0.35">
      <c r="A50" s="110"/>
      <c r="B50" s="110"/>
      <c r="C50" s="110"/>
      <c r="D50" s="110"/>
      <c r="E50" s="110"/>
      <c r="F50" s="110"/>
      <c r="G50" s="110"/>
      <c r="H50" s="110"/>
      <c r="I50" s="324"/>
    </row>
    <row r="51" spans="1:9" customFormat="1" ht="31.5" customHeight="1" thickBot="1" x14ac:dyDescent="0.35">
      <c r="A51" s="331">
        <v>8</v>
      </c>
      <c r="B51" s="358" t="s">
        <v>43</v>
      </c>
      <c r="C51" s="359"/>
      <c r="D51" s="359"/>
      <c r="E51" s="359"/>
      <c r="F51" s="359"/>
      <c r="G51" s="360"/>
      <c r="H51" s="348">
        <f>SUM(G52:G59)</f>
        <v>0</v>
      </c>
      <c r="I51" s="348">
        <f>+H51</f>
        <v>0</v>
      </c>
    </row>
    <row r="52" spans="1:9" customFormat="1" ht="50.4" x14ac:dyDescent="0.3">
      <c r="A52" s="143">
        <f>+A51+0.01</f>
        <v>8.01</v>
      </c>
      <c r="B52" s="155" t="s">
        <v>154</v>
      </c>
      <c r="C52" s="364"/>
      <c r="D52" s="352">
        <v>24</v>
      </c>
      <c r="E52" s="144" t="s">
        <v>12</v>
      </c>
      <c r="F52" s="145"/>
      <c r="G52" s="47">
        <f t="shared" ref="G52:G59" si="5">D52*F52</f>
        <v>0</v>
      </c>
      <c r="H52" s="109"/>
      <c r="I52" s="109"/>
    </row>
    <row r="53" spans="1:9" customFormat="1" ht="50.4" x14ac:dyDescent="0.3">
      <c r="A53" s="143">
        <f t="shared" ref="A53:A59" si="6">+A52+0.01</f>
        <v>8.02</v>
      </c>
      <c r="B53" s="155" t="s">
        <v>155</v>
      </c>
      <c r="C53" s="364"/>
      <c r="D53" s="352">
        <v>3</v>
      </c>
      <c r="E53" s="144" t="s">
        <v>12</v>
      </c>
      <c r="F53" s="145"/>
      <c r="G53" s="47">
        <f t="shared" si="5"/>
        <v>0</v>
      </c>
      <c r="H53" s="367"/>
      <c r="I53" s="367"/>
    </row>
    <row r="54" spans="1:9" customFormat="1" ht="25.2" x14ac:dyDescent="0.3">
      <c r="A54" s="143">
        <f t="shared" si="6"/>
        <v>8.0299999999999994</v>
      </c>
      <c r="B54" s="155" t="s">
        <v>156</v>
      </c>
      <c r="C54" s="364"/>
      <c r="D54" s="352">
        <v>4</v>
      </c>
      <c r="E54" s="144" t="s">
        <v>12</v>
      </c>
      <c r="F54" s="145"/>
      <c r="G54" s="47">
        <f t="shared" si="5"/>
        <v>0</v>
      </c>
      <c r="H54" s="367"/>
      <c r="I54" s="367"/>
    </row>
    <row r="55" spans="1:9" customFormat="1" ht="31.5" customHeight="1" x14ac:dyDescent="0.3">
      <c r="A55" s="143">
        <f t="shared" si="6"/>
        <v>8.0399999999999991</v>
      </c>
      <c r="B55" s="155" t="s">
        <v>157</v>
      </c>
      <c r="C55" s="364"/>
      <c r="D55" s="352">
        <v>28</v>
      </c>
      <c r="E55" s="144" t="s">
        <v>12</v>
      </c>
      <c r="F55" s="145"/>
      <c r="G55" s="47">
        <f t="shared" si="5"/>
        <v>0</v>
      </c>
      <c r="H55" s="367"/>
      <c r="I55" s="367"/>
    </row>
    <row r="56" spans="1:9" customFormat="1" ht="31.5" customHeight="1" x14ac:dyDescent="0.3">
      <c r="A56" s="143">
        <f t="shared" si="6"/>
        <v>8.0499999999999989</v>
      </c>
      <c r="B56" s="154" t="s">
        <v>158</v>
      </c>
      <c r="C56" s="364"/>
      <c r="D56" s="352">
        <v>28</v>
      </c>
      <c r="E56" s="144" t="s">
        <v>12</v>
      </c>
      <c r="F56" s="145"/>
      <c r="G56" s="47">
        <f t="shared" si="5"/>
        <v>0</v>
      </c>
      <c r="H56" s="367"/>
      <c r="I56" s="367"/>
    </row>
    <row r="57" spans="1:9" ht="25.2" x14ac:dyDescent="0.25">
      <c r="A57" s="143">
        <f t="shared" si="6"/>
        <v>8.0599999999999987</v>
      </c>
      <c r="B57" s="40" t="s">
        <v>108</v>
      </c>
      <c r="C57" s="378"/>
      <c r="D57" s="352">
        <v>16</v>
      </c>
      <c r="E57" s="144" t="s">
        <v>12</v>
      </c>
      <c r="F57" s="145"/>
      <c r="G57" s="47">
        <f t="shared" si="5"/>
        <v>0</v>
      </c>
      <c r="H57" s="367"/>
      <c r="I57" s="367"/>
    </row>
    <row r="58" spans="1:9" ht="25.2" x14ac:dyDescent="0.25">
      <c r="A58" s="143">
        <f t="shared" si="6"/>
        <v>8.0699999999999985</v>
      </c>
      <c r="B58" s="40" t="s">
        <v>159</v>
      </c>
      <c r="C58" s="364"/>
      <c r="D58" s="352">
        <v>2</v>
      </c>
      <c r="E58" s="144" t="s">
        <v>12</v>
      </c>
      <c r="F58" s="145"/>
      <c r="G58" s="47">
        <f t="shared" si="5"/>
        <v>0</v>
      </c>
      <c r="H58" s="367"/>
      <c r="I58" s="367"/>
    </row>
    <row r="59" spans="1:9" ht="30" customHeight="1" x14ac:dyDescent="0.25">
      <c r="A59" s="143">
        <f t="shared" si="6"/>
        <v>8.0799999999999983</v>
      </c>
      <c r="B59" s="40" t="s">
        <v>160</v>
      </c>
      <c r="C59" s="364"/>
      <c r="D59" s="352">
        <v>7</v>
      </c>
      <c r="E59" s="144" t="s">
        <v>12</v>
      </c>
      <c r="F59" s="145"/>
      <c r="G59" s="47">
        <f t="shared" si="5"/>
        <v>0</v>
      </c>
      <c r="H59" s="367"/>
      <c r="I59" s="367"/>
    </row>
    <row r="60" spans="1:9" ht="12" customHeight="1" thickBot="1" x14ac:dyDescent="0.3">
      <c r="A60" s="325"/>
      <c r="B60" s="325"/>
      <c r="C60" s="325"/>
      <c r="D60" s="325"/>
      <c r="E60" s="325"/>
      <c r="F60" s="325"/>
      <c r="G60" s="325"/>
      <c r="H60" s="325"/>
      <c r="I60" s="326"/>
    </row>
    <row r="61" spans="1:9" ht="25.2" thickBot="1" x14ac:dyDescent="0.3">
      <c r="A61" s="331">
        <v>9</v>
      </c>
      <c r="B61" s="358" t="s">
        <v>16</v>
      </c>
      <c r="C61" s="359"/>
      <c r="D61" s="359"/>
      <c r="E61" s="359"/>
      <c r="F61" s="359"/>
      <c r="G61" s="360"/>
      <c r="H61" s="348">
        <f>SUM(G62:G64)</f>
        <v>0</v>
      </c>
      <c r="I61" s="348">
        <f>+H61</f>
        <v>0</v>
      </c>
    </row>
    <row r="62" spans="1:9" s="228" customFormat="1" ht="63.75" customHeight="1" x14ac:dyDescent="0.25">
      <c r="A62" s="234">
        <f>+A61+0.01</f>
        <v>9.01</v>
      </c>
      <c r="B62" s="154" t="s">
        <v>111</v>
      </c>
      <c r="C62" s="361">
        <f>((5.15+1.4)*3.3)+(200.78)*1.05</f>
        <v>232.43400000000003</v>
      </c>
      <c r="D62" s="236">
        <v>235</v>
      </c>
      <c r="E62" s="257" t="s">
        <v>79</v>
      </c>
      <c r="F62" s="239"/>
      <c r="G62" s="226">
        <f>D62*F62</f>
        <v>0</v>
      </c>
      <c r="H62" s="109"/>
      <c r="I62" s="109"/>
    </row>
    <row r="63" spans="1:9" s="228" customFormat="1" ht="61.5" customHeight="1" x14ac:dyDescent="0.25">
      <c r="A63" s="234">
        <f>+A62+0.01</f>
        <v>9.02</v>
      </c>
      <c r="B63" s="154" t="s">
        <v>161</v>
      </c>
      <c r="C63" s="361"/>
      <c r="D63" s="236">
        <f>723.6*0.8</f>
        <v>578.88</v>
      </c>
      <c r="E63" s="257" t="s">
        <v>79</v>
      </c>
      <c r="F63" s="239"/>
      <c r="G63" s="226">
        <f>D63*F63</f>
        <v>0</v>
      </c>
      <c r="H63" s="367"/>
      <c r="I63" s="367"/>
    </row>
    <row r="64" spans="1:9" s="228" customFormat="1" ht="54" customHeight="1" x14ac:dyDescent="0.25">
      <c r="A64" s="234">
        <f>+A63+0.01</f>
        <v>9.0299999999999994</v>
      </c>
      <c r="B64" s="154" t="s">
        <v>162</v>
      </c>
      <c r="C64" s="361">
        <f>224.95*1.2</f>
        <v>269.94</v>
      </c>
      <c r="D64" s="236">
        <v>270</v>
      </c>
      <c r="E64" s="257" t="s">
        <v>79</v>
      </c>
      <c r="F64" s="239"/>
      <c r="G64" s="226">
        <f>D64*F64</f>
        <v>0</v>
      </c>
      <c r="H64" s="367"/>
      <c r="I64" s="367"/>
    </row>
    <row r="65" spans="1:10" ht="10.5" customHeight="1" thickBot="1" x14ac:dyDescent="0.3">
      <c r="A65" s="110"/>
      <c r="B65" s="110"/>
      <c r="C65" s="110"/>
      <c r="D65" s="110"/>
      <c r="E65" s="110"/>
      <c r="F65" s="110"/>
      <c r="G65" s="110"/>
      <c r="H65" s="110"/>
      <c r="I65" s="326"/>
    </row>
    <row r="66" spans="1:10" ht="25.2" thickBot="1" x14ac:dyDescent="0.3">
      <c r="A66" s="331">
        <v>10</v>
      </c>
      <c r="B66" s="358" t="s">
        <v>17</v>
      </c>
      <c r="C66" s="359"/>
      <c r="D66" s="359"/>
      <c r="E66" s="359"/>
      <c r="F66" s="359"/>
      <c r="G66" s="360"/>
      <c r="H66" s="348">
        <f>SUM(G67)</f>
        <v>0</v>
      </c>
      <c r="I66" s="348">
        <f>+H66</f>
        <v>0</v>
      </c>
    </row>
    <row r="67" spans="1:10" s="228" customFormat="1" ht="39" customHeight="1" x14ac:dyDescent="0.25">
      <c r="A67" s="234">
        <f>+A66+0.01</f>
        <v>10.01</v>
      </c>
      <c r="B67" s="154" t="s">
        <v>124</v>
      </c>
      <c r="C67" s="361">
        <v>1</v>
      </c>
      <c r="D67" s="236">
        <v>1</v>
      </c>
      <c r="E67" s="257" t="s">
        <v>42</v>
      </c>
      <c r="F67" s="239"/>
      <c r="G67" s="226">
        <f t="shared" ref="G67" si="7">D67*F67</f>
        <v>0</v>
      </c>
      <c r="H67" s="370"/>
      <c r="I67" s="370"/>
    </row>
    <row r="68" spans="1:10" ht="12" customHeight="1" thickBot="1" x14ac:dyDescent="0.3">
      <c r="A68" s="110"/>
      <c r="B68" s="110"/>
      <c r="C68" s="110"/>
      <c r="D68" s="110"/>
      <c r="E68" s="110"/>
      <c r="F68" s="110"/>
      <c r="G68" s="110"/>
      <c r="H68" s="110"/>
      <c r="I68" s="326"/>
    </row>
    <row r="69" spans="1:10" ht="30" customHeight="1" thickBot="1" x14ac:dyDescent="0.5">
      <c r="A69" s="165"/>
      <c r="B69" s="166" t="s">
        <v>20</v>
      </c>
      <c r="C69" s="379"/>
      <c r="D69" s="168"/>
      <c r="E69" s="169"/>
      <c r="F69" s="169"/>
      <c r="G69" s="169"/>
      <c r="H69" s="380">
        <f>+H66+H61+H51+H34+H31+H24+H19+H14+H11</f>
        <v>0</v>
      </c>
      <c r="I69" s="380">
        <f>+I66+I61+I51+I34+I31+I24+I19+I14+I11</f>
        <v>0</v>
      </c>
    </row>
    <row r="70" spans="1:10" ht="13.5" customHeight="1" x14ac:dyDescent="0.25">
      <c r="A70" s="171"/>
      <c r="B70" s="172"/>
      <c r="C70" s="172"/>
      <c r="D70" s="172"/>
      <c r="E70" s="172"/>
      <c r="F70" s="172"/>
      <c r="G70" s="172"/>
      <c r="H70" s="173"/>
      <c r="I70" s="326"/>
    </row>
    <row r="71" spans="1:10" ht="30" customHeight="1" x14ac:dyDescent="0.45">
      <c r="A71" s="37"/>
      <c r="B71" s="61" t="s">
        <v>5</v>
      </c>
      <c r="C71" s="174"/>
      <c r="D71" s="174"/>
      <c r="E71" s="174"/>
      <c r="F71" s="8"/>
      <c r="G71" s="8"/>
      <c r="H71" s="8"/>
      <c r="I71" s="8" t="s">
        <v>72</v>
      </c>
      <c r="J71" s="8" t="e">
        <f>#REF!*L$69</f>
        <v>#REF!</v>
      </c>
    </row>
    <row r="72" spans="1:10" ht="30" customHeight="1" x14ac:dyDescent="0.45">
      <c r="A72" s="37"/>
      <c r="B72" s="8" t="s">
        <v>23</v>
      </c>
      <c r="C72" s="175">
        <v>0.02</v>
      </c>
      <c r="D72" s="175"/>
      <c r="E72" s="175"/>
      <c r="F72" s="8">
        <f>C72*H$69</f>
        <v>0</v>
      </c>
      <c r="G72" s="8"/>
      <c r="H72" s="8"/>
      <c r="I72" s="8">
        <f>+C72*I69</f>
        <v>0</v>
      </c>
      <c r="J72" s="8" t="e">
        <f>#REF!*L$69</f>
        <v>#REF!</v>
      </c>
    </row>
    <row r="73" spans="1:10" ht="30" customHeight="1" x14ac:dyDescent="0.45">
      <c r="A73" s="37"/>
      <c r="B73" s="8" t="s">
        <v>71</v>
      </c>
      <c r="C73" s="175">
        <v>0.1</v>
      </c>
      <c r="D73" s="175"/>
      <c r="E73" s="175"/>
      <c r="F73" s="8">
        <f t="shared" ref="F73:F78" si="8">C73*H$69</f>
        <v>0</v>
      </c>
      <c r="G73" s="8"/>
      <c r="H73" s="8"/>
      <c r="I73" s="8">
        <f>+C73*I69</f>
        <v>0</v>
      </c>
      <c r="J73" s="8" t="e">
        <f>#REF!*L$69</f>
        <v>#REF!</v>
      </c>
    </row>
    <row r="74" spans="1:10" ht="30" customHeight="1" x14ac:dyDescent="0.45">
      <c r="A74" s="37"/>
      <c r="B74" s="8" t="s">
        <v>25</v>
      </c>
      <c r="C74" s="175">
        <v>1.4999999999999999E-2</v>
      </c>
      <c r="D74" s="175"/>
      <c r="E74" s="175"/>
      <c r="F74" s="8">
        <f t="shared" si="8"/>
        <v>0</v>
      </c>
      <c r="G74" s="8"/>
      <c r="H74" s="8"/>
      <c r="I74" s="8">
        <f>+C74*I69</f>
        <v>0</v>
      </c>
      <c r="J74" s="8" t="e">
        <f>#REF!*L$69</f>
        <v>#REF!</v>
      </c>
    </row>
    <row r="75" spans="1:10" ht="30" customHeight="1" x14ac:dyDescent="0.45">
      <c r="A75" s="37"/>
      <c r="B75" s="8" t="s">
        <v>26</v>
      </c>
      <c r="C75" s="175">
        <v>0.05</v>
      </c>
      <c r="D75" s="175"/>
      <c r="E75" s="175"/>
      <c r="F75" s="8">
        <f t="shared" si="8"/>
        <v>0</v>
      </c>
      <c r="G75" s="8"/>
      <c r="H75" s="8"/>
      <c r="I75" s="8">
        <f>+C75*I69</f>
        <v>0</v>
      </c>
      <c r="J75" s="8" t="e">
        <f>#REF!*L$69</f>
        <v>#REF!</v>
      </c>
    </row>
    <row r="76" spans="1:10" ht="30" customHeight="1" x14ac:dyDescent="0.45">
      <c r="A76" s="37"/>
      <c r="B76" s="8" t="s">
        <v>27</v>
      </c>
      <c r="C76" s="175">
        <v>0.01</v>
      </c>
      <c r="D76" s="175"/>
      <c r="E76" s="175"/>
      <c r="F76" s="8">
        <f t="shared" si="8"/>
        <v>0</v>
      </c>
      <c r="G76" s="8"/>
      <c r="H76" s="8"/>
      <c r="I76" s="8">
        <f>+C76*I69</f>
        <v>0</v>
      </c>
      <c r="J76" s="8" t="e">
        <f>#REF!*L$69</f>
        <v>#REF!</v>
      </c>
    </row>
    <row r="77" spans="1:10" ht="30" customHeight="1" x14ac:dyDescent="0.45">
      <c r="A77" s="37"/>
      <c r="B77" s="8" t="s">
        <v>28</v>
      </c>
      <c r="C77" s="175">
        <v>0</v>
      </c>
      <c r="D77" s="175">
        <v>1E-4</v>
      </c>
      <c r="E77" s="175"/>
      <c r="F77" s="8">
        <f t="shared" si="8"/>
        <v>0</v>
      </c>
      <c r="G77" s="8"/>
      <c r="H77" s="8"/>
      <c r="I77" s="8">
        <f>+C77*I69</f>
        <v>0</v>
      </c>
      <c r="J77" s="8" t="e">
        <f>#REF!*L$69</f>
        <v>#REF!</v>
      </c>
    </row>
    <row r="78" spans="1:10" ht="30" customHeight="1" x14ac:dyDescent="0.45">
      <c r="A78" s="37"/>
      <c r="B78" s="8" t="s">
        <v>29</v>
      </c>
      <c r="C78" s="176">
        <v>1E-3</v>
      </c>
      <c r="D78" s="176"/>
      <c r="E78" s="176"/>
      <c r="F78" s="8">
        <f t="shared" si="8"/>
        <v>0</v>
      </c>
      <c r="G78" s="8"/>
      <c r="H78" s="8"/>
      <c r="I78" s="8">
        <f>+C78*I69</f>
        <v>0</v>
      </c>
      <c r="J78" s="178" t="e">
        <f>0.18*J72</f>
        <v>#REF!</v>
      </c>
    </row>
    <row r="79" spans="1:10" ht="30" customHeight="1" thickBot="1" x14ac:dyDescent="0.5">
      <c r="A79" s="177"/>
      <c r="B79" s="178" t="s">
        <v>30</v>
      </c>
      <c r="C79" s="179"/>
      <c r="D79" s="180" t="s">
        <v>72</v>
      </c>
      <c r="E79" s="180"/>
      <c r="F79" s="178">
        <f>0.18*F73</f>
        <v>0</v>
      </c>
      <c r="G79" s="178"/>
      <c r="H79" s="178"/>
      <c r="I79" s="178">
        <f>0.18*I73</f>
        <v>0</v>
      </c>
    </row>
    <row r="80" spans="1:10" ht="30" customHeight="1" thickBot="1" x14ac:dyDescent="0.5">
      <c r="A80" s="181"/>
      <c r="B80" s="182" t="s">
        <v>73</v>
      </c>
      <c r="C80" s="381"/>
      <c r="D80" s="184"/>
      <c r="E80" s="184"/>
      <c r="F80" s="185"/>
      <c r="G80" s="186"/>
      <c r="H80" s="187">
        <f>SUM(F72:F79)</f>
        <v>0</v>
      </c>
      <c r="I80" s="187">
        <f>SUM(I71:I79)</f>
        <v>0</v>
      </c>
    </row>
    <row r="81" spans="1:9" ht="30" customHeight="1" thickBot="1" x14ac:dyDescent="0.45">
      <c r="A81" s="188"/>
      <c r="B81" s="189" t="s">
        <v>74</v>
      </c>
      <c r="C81" s="382"/>
      <c r="D81" s="191"/>
      <c r="E81" s="191"/>
      <c r="F81" s="192"/>
      <c r="G81" s="193"/>
      <c r="H81" s="194">
        <f>SUM(H80,H69)</f>
        <v>0</v>
      </c>
      <c r="I81" s="194">
        <f>+I69+I80</f>
        <v>0</v>
      </c>
    </row>
    <row r="82" spans="1:9" ht="10.5" customHeight="1" thickBot="1" x14ac:dyDescent="0.3"/>
    <row r="83" spans="1:9" ht="45" customHeight="1" thickBot="1" x14ac:dyDescent="0.5">
      <c r="B83" s="384" t="s">
        <v>163</v>
      </c>
      <c r="C83" s="384"/>
      <c r="D83" s="384"/>
      <c r="E83" s="384"/>
      <c r="F83" s="384"/>
      <c r="G83" s="384"/>
      <c r="H83" s="384"/>
      <c r="I83" s="187">
        <f>+H81-I81</f>
        <v>0</v>
      </c>
    </row>
    <row r="84" spans="1:9" ht="32.4" customHeight="1" x14ac:dyDescent="0.35">
      <c r="B84" s="384" t="s">
        <v>164</v>
      </c>
      <c r="C84" s="384"/>
      <c r="D84" s="384"/>
      <c r="E84" s="384"/>
      <c r="F84" s="384"/>
      <c r="G84" s="384"/>
      <c r="H84" s="384"/>
      <c r="I84" s="326" t="s">
        <v>72</v>
      </c>
    </row>
    <row r="85" spans="1:9" ht="30" customHeight="1" x14ac:dyDescent="0.35">
      <c r="B85" s="384" t="s">
        <v>165</v>
      </c>
      <c r="C85" s="384"/>
      <c r="D85" s="384"/>
      <c r="E85" s="384"/>
      <c r="F85" s="384"/>
      <c r="G85" s="384"/>
      <c r="H85" s="384"/>
      <c r="I85" s="326"/>
    </row>
    <row r="86" spans="1:9" ht="22.5" customHeight="1" x14ac:dyDescent="0.35">
      <c r="B86" s="385"/>
      <c r="C86" s="385"/>
      <c r="D86" s="385"/>
      <c r="E86" s="385"/>
      <c r="F86" s="385"/>
      <c r="G86" s="385"/>
      <c r="H86" s="385"/>
      <c r="I86" s="385"/>
    </row>
    <row r="87" spans="1:9" ht="22.5" customHeight="1" x14ac:dyDescent="0.35">
      <c r="B87" s="385"/>
      <c r="C87" s="385"/>
      <c r="D87" s="385"/>
      <c r="E87" s="385"/>
      <c r="F87" s="385"/>
      <c r="G87" s="385"/>
      <c r="H87" s="385"/>
      <c r="I87" s="385"/>
    </row>
    <row r="88" spans="1:9" ht="22.5" customHeight="1" x14ac:dyDescent="0.25">
      <c r="B88" s="23"/>
      <c r="E88" s="386"/>
      <c r="F88" s="386"/>
      <c r="G88" s="386"/>
      <c r="H88" s="386"/>
      <c r="I88" s="326"/>
    </row>
    <row r="89" spans="1:9" ht="30" customHeight="1" x14ac:dyDescent="0.5">
      <c r="B89" s="24" t="s">
        <v>32</v>
      </c>
      <c r="E89" s="101" t="s">
        <v>33</v>
      </c>
      <c r="F89" s="101"/>
      <c r="G89" s="101"/>
      <c r="H89" s="101"/>
      <c r="I89" s="326"/>
    </row>
    <row r="90" spans="1:9" ht="30" customHeight="1" x14ac:dyDescent="0.25"/>
    <row r="91" spans="1:9" ht="30" customHeight="1" x14ac:dyDescent="0.25">
      <c r="A91" s="1"/>
      <c r="B91" s="1"/>
      <c r="C91" s="1"/>
      <c r="D91" s="1"/>
      <c r="E91" s="1"/>
      <c r="F91" s="1"/>
      <c r="H91" s="1"/>
    </row>
  </sheetData>
  <mergeCells count="50">
    <mergeCell ref="E89:H89"/>
    <mergeCell ref="H20:H22"/>
    <mergeCell ref="H15:H17"/>
    <mergeCell ref="C78:E78"/>
    <mergeCell ref="D79:E79"/>
    <mergeCell ref="B83:H83"/>
    <mergeCell ref="B84:H84"/>
    <mergeCell ref="B85:H85"/>
    <mergeCell ref="E88:H88"/>
    <mergeCell ref="C72:E72"/>
    <mergeCell ref="C73:E73"/>
    <mergeCell ref="C74:E74"/>
    <mergeCell ref="C75:E75"/>
    <mergeCell ref="C76:E76"/>
    <mergeCell ref="C77:E77"/>
    <mergeCell ref="A65:H65"/>
    <mergeCell ref="B66:G66"/>
    <mergeCell ref="A68:H68"/>
    <mergeCell ref="D69:G69"/>
    <mergeCell ref="A70:H70"/>
    <mergeCell ref="C71:E71"/>
    <mergeCell ref="B51:G51"/>
    <mergeCell ref="H52:H59"/>
    <mergeCell ref="I52:I59"/>
    <mergeCell ref="A60:H60"/>
    <mergeCell ref="B61:G61"/>
    <mergeCell ref="H62:H64"/>
    <mergeCell ref="I62:I64"/>
    <mergeCell ref="A30:H30"/>
    <mergeCell ref="B31:G31"/>
    <mergeCell ref="A33:H33"/>
    <mergeCell ref="H35:H49"/>
    <mergeCell ref="I35:I49"/>
    <mergeCell ref="A50:H50"/>
    <mergeCell ref="I20:I21"/>
    <mergeCell ref="A23:H23"/>
    <mergeCell ref="B24:G24"/>
    <mergeCell ref="H25:H29"/>
    <mergeCell ref="I25:I29"/>
    <mergeCell ref="A8:H8"/>
    <mergeCell ref="A10:H10"/>
    <mergeCell ref="I15:I16"/>
    <mergeCell ref="A18:H18"/>
    <mergeCell ref="B19:G19"/>
    <mergeCell ref="A2:H2"/>
    <mergeCell ref="A3:H3"/>
    <mergeCell ref="A4:H4"/>
    <mergeCell ref="A5:H5"/>
    <mergeCell ref="A6:H6"/>
    <mergeCell ref="A7:H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4FD4-BB13-4193-97D3-B0FA61AD652E}">
  <dimension ref="A1:P79"/>
  <sheetViews>
    <sheetView tabSelected="1" topLeftCell="A35" zoomScale="50" zoomScaleNormal="50" workbookViewId="0">
      <selection activeCell="H43" sqref="H43"/>
    </sheetView>
  </sheetViews>
  <sheetFormatPr baseColWidth="10" defaultColWidth="9.109375" defaultRowHeight="13.8" x14ac:dyDescent="0.25"/>
  <cols>
    <col min="1" max="1" width="17" style="10" customWidth="1"/>
    <col min="2" max="2" width="102.44140625" style="13" customWidth="1"/>
    <col min="3" max="3" width="25.109375" style="14" hidden="1" customWidth="1"/>
    <col min="4" max="4" width="18.88671875" style="15" customWidth="1"/>
    <col min="5" max="5" width="13.109375" style="15" customWidth="1"/>
    <col min="6" max="6" width="20.109375" style="307" customWidth="1"/>
    <col min="7" max="7" width="22.88671875" style="228" customWidth="1"/>
    <col min="8" max="8" width="33.33203125" style="17" customWidth="1"/>
    <col min="9" max="9" width="2.6640625" style="1" customWidth="1"/>
    <col min="10" max="10" width="33.33203125" style="17" hidden="1" customWidth="1"/>
    <col min="11" max="11" width="8.6640625" style="1" customWidth="1"/>
    <col min="12" max="12" width="0.88671875" style="1" hidden="1" customWidth="1"/>
    <col min="13" max="13" width="20.44140625" style="1" hidden="1" customWidth="1"/>
    <col min="14" max="14" width="18.6640625" style="1" hidden="1" customWidth="1"/>
    <col min="15" max="15" width="36.109375" style="1" hidden="1" customWidth="1"/>
    <col min="16" max="16384" width="9.109375" style="1"/>
  </cols>
  <sheetData>
    <row r="1" spans="1:15" ht="25.2" x14ac:dyDescent="0.45">
      <c r="A1" s="521"/>
      <c r="B1" s="522"/>
      <c r="C1" s="523"/>
      <c r="D1" s="524"/>
      <c r="E1" s="524"/>
      <c r="F1" s="525"/>
      <c r="G1" s="526"/>
      <c r="H1" s="527"/>
      <c r="J1" s="527"/>
    </row>
    <row r="2" spans="1:15" s="135" customFormat="1" ht="24.75" customHeight="1" x14ac:dyDescent="0.5">
      <c r="A2" s="203" t="s">
        <v>34</v>
      </c>
      <c r="B2" s="203"/>
      <c r="C2" s="203"/>
      <c r="D2" s="203"/>
      <c r="E2" s="203"/>
      <c r="F2" s="203"/>
      <c r="G2" s="203"/>
      <c r="H2" s="203"/>
    </row>
    <row r="3" spans="1:15" s="135" customFormat="1" ht="24.75" customHeight="1" x14ac:dyDescent="0.5">
      <c r="A3" s="203" t="s">
        <v>35</v>
      </c>
      <c r="B3" s="203"/>
      <c r="C3" s="203"/>
      <c r="D3" s="203"/>
      <c r="E3" s="203"/>
      <c r="F3" s="203"/>
      <c r="G3" s="203"/>
      <c r="H3" s="203"/>
    </row>
    <row r="4" spans="1:15" s="135" customFormat="1" ht="24.75" customHeight="1" x14ac:dyDescent="0.5">
      <c r="A4" s="203" t="s">
        <v>36</v>
      </c>
      <c r="B4" s="203"/>
      <c r="C4" s="203"/>
      <c r="D4" s="203"/>
      <c r="E4" s="203"/>
      <c r="F4" s="203"/>
      <c r="G4" s="203"/>
      <c r="H4" s="203"/>
    </row>
    <row r="5" spans="1:15" s="135" customFormat="1" ht="24.75" customHeight="1" x14ac:dyDescent="0.3">
      <c r="A5" s="136" t="s">
        <v>226</v>
      </c>
      <c r="B5" s="136"/>
      <c r="C5" s="136"/>
      <c r="D5" s="136"/>
      <c r="E5" s="136"/>
      <c r="F5" s="136"/>
      <c r="G5" s="136"/>
      <c r="H5" s="136"/>
    </row>
    <row r="6" spans="1:15" customFormat="1" ht="6" customHeight="1" x14ac:dyDescent="0.5">
      <c r="A6" s="528"/>
      <c r="B6" s="529"/>
      <c r="C6" s="530"/>
      <c r="D6" s="532"/>
      <c r="E6" s="530"/>
      <c r="F6" s="531"/>
      <c r="G6" s="532"/>
      <c r="H6" s="531"/>
      <c r="J6" s="531"/>
    </row>
    <row r="7" spans="1:15" customFormat="1" ht="26.25" customHeight="1" x14ac:dyDescent="0.3">
      <c r="A7" s="211" t="s">
        <v>37</v>
      </c>
      <c r="B7" s="211"/>
      <c r="C7" s="211"/>
      <c r="D7" s="211"/>
      <c r="E7" s="211"/>
      <c r="F7" s="211"/>
      <c r="G7" s="211"/>
      <c r="H7" s="211"/>
    </row>
    <row r="8" spans="1:15" ht="8.25" customHeight="1" thickBot="1" x14ac:dyDescent="0.5">
      <c r="A8" s="521"/>
      <c r="B8" s="522"/>
      <c r="C8" s="523"/>
      <c r="D8" s="524"/>
      <c r="E8" s="524"/>
      <c r="F8" s="525"/>
      <c r="G8" s="526"/>
      <c r="H8" s="527"/>
      <c r="J8" s="527"/>
    </row>
    <row r="9" spans="1:15" ht="46.5" customHeight="1" thickBot="1" x14ac:dyDescent="0.3">
      <c r="A9" s="533" t="s">
        <v>0</v>
      </c>
      <c r="B9" s="217" t="s">
        <v>6</v>
      </c>
      <c r="C9" s="218" t="s">
        <v>22</v>
      </c>
      <c r="D9" s="216" t="s">
        <v>21</v>
      </c>
      <c r="E9" s="216" t="s">
        <v>1</v>
      </c>
      <c r="F9" s="216" t="s">
        <v>2</v>
      </c>
      <c r="G9" s="216" t="s">
        <v>3</v>
      </c>
      <c r="H9" s="534" t="s">
        <v>4</v>
      </c>
      <c r="J9" s="609" t="s">
        <v>126</v>
      </c>
      <c r="M9" s="1" t="s">
        <v>7</v>
      </c>
      <c r="N9" s="1" t="s">
        <v>8</v>
      </c>
      <c r="O9" s="1" t="s">
        <v>9</v>
      </c>
    </row>
    <row r="10" spans="1:15" ht="10.5" customHeight="1" thickBot="1" x14ac:dyDescent="0.5">
      <c r="A10" s="535"/>
      <c r="B10" s="522"/>
      <c r="C10" s="523"/>
      <c r="D10" s="524"/>
      <c r="E10" s="524"/>
      <c r="F10" s="525"/>
      <c r="G10" s="526"/>
      <c r="H10" s="536"/>
      <c r="J10" s="536"/>
      <c r="L10" s="1" t="s">
        <v>10</v>
      </c>
      <c r="M10" s="1">
        <f>39600+29750+38700+28500+45900+32300+96000+35000</f>
        <v>345750</v>
      </c>
      <c r="N10" s="1">
        <v>300000</v>
      </c>
      <c r="O10" s="1">
        <v>368000</v>
      </c>
    </row>
    <row r="11" spans="1:15" ht="25.8" thickBot="1" x14ac:dyDescent="0.5">
      <c r="A11" s="610">
        <v>1</v>
      </c>
      <c r="B11" s="611" t="s">
        <v>227</v>
      </c>
      <c r="C11" s="612"/>
      <c r="D11" s="613"/>
      <c r="E11" s="613"/>
      <c r="F11" s="614"/>
      <c r="G11" s="615"/>
      <c r="H11" s="616">
        <f>SUM(G12)</f>
        <v>0</v>
      </c>
      <c r="J11" s="616">
        <f>+H11</f>
        <v>0</v>
      </c>
      <c r="L11" s="1" t="s">
        <v>11</v>
      </c>
      <c r="M11" s="1">
        <f>62100+5520+11675+3500</f>
        <v>82795</v>
      </c>
      <c r="O11" s="1">
        <f>116000</f>
        <v>116000</v>
      </c>
    </row>
    <row r="12" spans="1:15" s="228" customFormat="1" ht="80.25" customHeight="1" thickBot="1" x14ac:dyDescent="0.45">
      <c r="A12" s="617">
        <f>+A11+0.01</f>
        <v>1.01</v>
      </c>
      <c r="B12" s="355" t="s">
        <v>228</v>
      </c>
      <c r="C12" s="618"/>
      <c r="D12" s="619">
        <f>(1.5+1.2)*1.2</f>
        <v>3.24</v>
      </c>
      <c r="E12" s="237" t="s">
        <v>171</v>
      </c>
      <c r="F12" s="234"/>
      <c r="G12" s="234">
        <f t="shared" ref="G12:G16" si="0">D12*F12</f>
        <v>0</v>
      </c>
      <c r="H12" s="620"/>
      <c r="J12" s="620"/>
    </row>
    <row r="13" spans="1:15" ht="25.8" thickBot="1" x14ac:dyDescent="0.5">
      <c r="A13" s="621">
        <v>2</v>
      </c>
      <c r="B13" s="611" t="s">
        <v>229</v>
      </c>
      <c r="C13" s="612"/>
      <c r="D13" s="613"/>
      <c r="E13" s="613"/>
      <c r="F13" s="613"/>
      <c r="G13" s="615">
        <f t="shared" si="0"/>
        <v>0</v>
      </c>
      <c r="H13" s="616">
        <f>SUM(G14:G16)</f>
        <v>0</v>
      </c>
      <c r="J13" s="616">
        <f>+H13</f>
        <v>0</v>
      </c>
    </row>
    <row r="14" spans="1:15" ht="82.5" customHeight="1" x14ac:dyDescent="0.4">
      <c r="A14" s="617">
        <v>2.0099999999999998</v>
      </c>
      <c r="B14" s="355" t="s">
        <v>230</v>
      </c>
      <c r="C14" s="618">
        <f>+(5.54+0.8+4.09-0.3+2.93+3.05+3.05+4.09+3.05)*2.5</f>
        <v>65.75</v>
      </c>
      <c r="D14" s="619">
        <f>(4.35*3.7)+(2.8*3.7)+(2*3.7)+(3.55*2.7)+(1.21*2.7)+(1*2.7)</f>
        <v>49.407000000000004</v>
      </c>
      <c r="E14" s="237" t="s">
        <v>171</v>
      </c>
      <c r="F14" s="234"/>
      <c r="G14" s="234">
        <f t="shared" si="0"/>
        <v>0</v>
      </c>
      <c r="H14" s="620"/>
      <c r="J14" s="620"/>
    </row>
    <row r="15" spans="1:15" ht="50.4" x14ac:dyDescent="0.4">
      <c r="A15" s="617">
        <f>+A14+0.01</f>
        <v>2.0199999999999996</v>
      </c>
      <c r="B15" s="355" t="s">
        <v>231</v>
      </c>
      <c r="C15" s="618">
        <f>+(5.54+0.8+4.09-0.3+2.93+3.05+3.05+4.09+3.05)*2.5</f>
        <v>65.75</v>
      </c>
      <c r="D15" s="619">
        <v>5.9</v>
      </c>
      <c r="E15" s="237" t="s">
        <v>18</v>
      </c>
      <c r="F15" s="234"/>
      <c r="G15" s="234">
        <f t="shared" si="0"/>
        <v>0</v>
      </c>
      <c r="H15" s="620"/>
      <c r="J15" s="620"/>
    </row>
    <row r="16" spans="1:15" ht="58.5" customHeight="1" thickBot="1" x14ac:dyDescent="0.45">
      <c r="A16" s="617">
        <f>+A15+0.01</f>
        <v>2.0299999999999994</v>
      </c>
      <c r="B16" s="355" t="s">
        <v>232</v>
      </c>
      <c r="C16" s="618">
        <f>+(5.54+0.8+4.09-0.3+2.93+3.05+3.05+4.09+3.05)*2.5</f>
        <v>65.75</v>
      </c>
      <c r="D16" s="619">
        <v>1</v>
      </c>
      <c r="E16" s="237" t="s">
        <v>19</v>
      </c>
      <c r="F16" s="234"/>
      <c r="G16" s="234">
        <f t="shared" si="0"/>
        <v>0</v>
      </c>
      <c r="H16" s="620"/>
      <c r="J16" s="620"/>
    </row>
    <row r="17" spans="1:16" ht="32.25" customHeight="1" thickBot="1" x14ac:dyDescent="0.5">
      <c r="A17" s="622">
        <v>3</v>
      </c>
      <c r="B17" s="623" t="s">
        <v>233</v>
      </c>
      <c r="C17" s="624"/>
      <c r="D17" s="613"/>
      <c r="E17" s="613"/>
      <c r="F17" s="625"/>
      <c r="G17" s="615"/>
      <c r="H17" s="626">
        <f>SUM(G18:G22)</f>
        <v>0</v>
      </c>
      <c r="J17" s="616">
        <f>+H17</f>
        <v>0</v>
      </c>
    </row>
    <row r="18" spans="1:16" ht="56.25" customHeight="1" x14ac:dyDescent="0.45">
      <c r="A18" s="627">
        <f t="shared" ref="A18:A20" si="1">+A17+0.01</f>
        <v>3.01</v>
      </c>
      <c r="B18" s="285" t="s">
        <v>234</v>
      </c>
      <c r="C18" s="430"/>
      <c r="D18" s="619">
        <v>5</v>
      </c>
      <c r="E18" s="237" t="s">
        <v>12</v>
      </c>
      <c r="F18" s="370"/>
      <c r="G18" s="234">
        <f t="shared" ref="G18:G22" si="2">D18*F18</f>
        <v>0</v>
      </c>
      <c r="H18" s="628"/>
      <c r="J18" s="628"/>
    </row>
    <row r="19" spans="1:16" ht="78" customHeight="1" x14ac:dyDescent="0.45">
      <c r="A19" s="627">
        <f t="shared" si="1"/>
        <v>3.0199999999999996</v>
      </c>
      <c r="B19" s="285" t="s">
        <v>235</v>
      </c>
      <c r="C19" s="430"/>
      <c r="D19" s="619">
        <v>5</v>
      </c>
      <c r="E19" s="237" t="s">
        <v>12</v>
      </c>
      <c r="F19" s="370"/>
      <c r="G19" s="234">
        <f t="shared" si="2"/>
        <v>0</v>
      </c>
      <c r="H19" s="628"/>
      <c r="J19" s="628"/>
    </row>
    <row r="20" spans="1:16" s="10" customFormat="1" ht="108.75" customHeight="1" x14ac:dyDescent="0.3">
      <c r="A20" s="627">
        <f t="shared" si="1"/>
        <v>3.0299999999999994</v>
      </c>
      <c r="B20" s="430" t="s">
        <v>236</v>
      </c>
      <c r="C20" s="430"/>
      <c r="D20" s="619">
        <v>1</v>
      </c>
      <c r="E20" s="237" t="s">
        <v>12</v>
      </c>
      <c r="F20" s="370"/>
      <c r="G20" s="234">
        <f t="shared" si="2"/>
        <v>0</v>
      </c>
      <c r="H20" s="629"/>
      <c r="J20" s="629"/>
    </row>
    <row r="21" spans="1:16" s="10" customFormat="1" ht="55.5" customHeight="1" x14ac:dyDescent="0.3">
      <c r="A21" s="627">
        <f>+A20+0.01</f>
        <v>3.0399999999999991</v>
      </c>
      <c r="B21" s="430" t="s">
        <v>237</v>
      </c>
      <c r="C21" s="430"/>
      <c r="D21" s="619">
        <v>2</v>
      </c>
      <c r="E21" s="237" t="s">
        <v>12</v>
      </c>
      <c r="F21" s="370"/>
      <c r="G21" s="234">
        <f>D21*F21</f>
        <v>0</v>
      </c>
      <c r="H21" s="629"/>
      <c r="J21" s="629"/>
    </row>
    <row r="22" spans="1:16" s="10" customFormat="1" ht="80.25" customHeight="1" x14ac:dyDescent="0.3">
      <c r="A22" s="627">
        <f>+A21+0.01</f>
        <v>3.0499999999999989</v>
      </c>
      <c r="B22" s="430" t="s">
        <v>238</v>
      </c>
      <c r="C22" s="430"/>
      <c r="D22" s="619">
        <v>12</v>
      </c>
      <c r="E22" s="237" t="s">
        <v>12</v>
      </c>
      <c r="F22" s="370"/>
      <c r="G22" s="234">
        <f t="shared" si="2"/>
        <v>0</v>
      </c>
      <c r="H22" s="629"/>
      <c r="J22" s="629"/>
    </row>
    <row r="23" spans="1:16" ht="5.25" customHeight="1" thickBot="1" x14ac:dyDescent="0.5">
      <c r="A23" s="535"/>
      <c r="B23" s="630"/>
      <c r="C23" s="523"/>
      <c r="D23" s="524"/>
      <c r="E23" s="524"/>
      <c r="F23" s="631"/>
      <c r="G23" s="631"/>
      <c r="H23" s="632"/>
      <c r="J23" s="632"/>
    </row>
    <row r="24" spans="1:16" ht="32.25" customHeight="1" thickBot="1" x14ac:dyDescent="0.5">
      <c r="A24" s="622">
        <f>+A17+1</f>
        <v>4</v>
      </c>
      <c r="B24" s="623" t="s">
        <v>239</v>
      </c>
      <c r="C24" s="624"/>
      <c r="D24" s="613"/>
      <c r="E24" s="613"/>
      <c r="F24" s="625"/>
      <c r="G24" s="625"/>
      <c r="H24" s="626">
        <f>SUM(G25:G27)</f>
        <v>0</v>
      </c>
      <c r="J24" s="626">
        <f>SUM(I25:I27)</f>
        <v>0</v>
      </c>
    </row>
    <row r="25" spans="1:16" s="228" customFormat="1" ht="37.5" customHeight="1" x14ac:dyDescent="0.25">
      <c r="A25" s="627">
        <f>+A24+0.01</f>
        <v>4.01</v>
      </c>
      <c r="B25" s="73" t="s">
        <v>240</v>
      </c>
      <c r="C25" s="361"/>
      <c r="D25" s="352">
        <v>2</v>
      </c>
      <c r="E25" s="257" t="s">
        <v>12</v>
      </c>
      <c r="F25" s="239"/>
      <c r="G25" s="239">
        <f t="shared" ref="G25:G27" si="3">D25*F25</f>
        <v>0</v>
      </c>
      <c r="H25" s="633"/>
      <c r="I25" s="127"/>
      <c r="J25" s="633"/>
    </row>
    <row r="26" spans="1:16" s="228" customFormat="1" ht="58.5" customHeight="1" x14ac:dyDescent="0.25">
      <c r="A26" s="627">
        <f>+A25+0.01</f>
        <v>4.0199999999999996</v>
      </c>
      <c r="B26" s="73" t="s">
        <v>241</v>
      </c>
      <c r="C26" s="361"/>
      <c r="D26" s="352">
        <v>1</v>
      </c>
      <c r="E26" s="257" t="s">
        <v>12</v>
      </c>
      <c r="F26" s="239"/>
      <c r="G26" s="239">
        <f t="shared" si="3"/>
        <v>0</v>
      </c>
      <c r="H26" s="633"/>
      <c r="I26" s="127"/>
      <c r="J26" s="633"/>
    </row>
    <row r="27" spans="1:16" s="677" customFormat="1" ht="55.5" customHeight="1" thickBot="1" x14ac:dyDescent="0.3">
      <c r="A27" s="671">
        <f>+A26+0.01</f>
        <v>4.0299999999999994</v>
      </c>
      <c r="B27" s="80" t="s">
        <v>242</v>
      </c>
      <c r="C27" s="672"/>
      <c r="D27" s="352">
        <v>1</v>
      </c>
      <c r="E27" s="673" t="s">
        <v>12</v>
      </c>
      <c r="F27" s="674"/>
      <c r="G27" s="674">
        <f t="shared" si="3"/>
        <v>0</v>
      </c>
      <c r="H27" s="675"/>
      <c r="I27" s="676"/>
      <c r="J27" s="675"/>
    </row>
    <row r="28" spans="1:16" ht="32.25" customHeight="1" thickBot="1" x14ac:dyDescent="0.5">
      <c r="A28" s="622">
        <f>+A24+1</f>
        <v>5</v>
      </c>
      <c r="B28" s="623" t="s">
        <v>209</v>
      </c>
      <c r="C28" s="624"/>
      <c r="D28" s="613"/>
      <c r="E28" s="613"/>
      <c r="F28" s="625"/>
      <c r="G28" s="625"/>
      <c r="H28" s="626">
        <f>SUM(G29:G32)</f>
        <v>0</v>
      </c>
      <c r="J28" s="616">
        <f>+H28</f>
        <v>0</v>
      </c>
    </row>
    <row r="29" spans="1:16" s="10" customFormat="1" ht="40.5" customHeight="1" x14ac:dyDescent="0.3">
      <c r="A29" s="627">
        <f>+A28+0.01</f>
        <v>5.01</v>
      </c>
      <c r="B29" s="430" t="s">
        <v>243</v>
      </c>
      <c r="C29" s="430" t="e">
        <f>+#REF!*2.42*1.05</f>
        <v>#REF!</v>
      </c>
      <c r="D29" s="619">
        <v>1</v>
      </c>
      <c r="E29" s="237" t="s">
        <v>12</v>
      </c>
      <c r="F29" s="370"/>
      <c r="G29" s="283">
        <f>D29*F29</f>
        <v>0</v>
      </c>
      <c r="H29" s="629"/>
      <c r="J29" s="629"/>
    </row>
    <row r="30" spans="1:16" s="10" customFormat="1" ht="54" customHeight="1" x14ac:dyDescent="0.3">
      <c r="A30" s="627">
        <f>+A29+0.01</f>
        <v>5.0199999999999996</v>
      </c>
      <c r="B30" s="430" t="s">
        <v>244</v>
      </c>
      <c r="C30" s="430" t="e">
        <f>+#REF!*2.42*1.05</f>
        <v>#REF!</v>
      </c>
      <c r="D30" s="619">
        <v>1</v>
      </c>
      <c r="E30" s="237" t="s">
        <v>12</v>
      </c>
      <c r="F30" s="370"/>
      <c r="G30" s="283">
        <f>D30*F30</f>
        <v>0</v>
      </c>
      <c r="H30" s="629"/>
      <c r="J30" s="629"/>
    </row>
    <row r="31" spans="1:16" ht="135.75" customHeight="1" x14ac:dyDescent="0.25">
      <c r="A31" s="368">
        <f t="shared" ref="A31" si="4">+A30+0.01</f>
        <v>5.0299999999999994</v>
      </c>
      <c r="B31" s="369" t="s">
        <v>245</v>
      </c>
      <c r="C31" s="364">
        <f>+C23*2*0.85*10.76</f>
        <v>0</v>
      </c>
      <c r="D31" s="619">
        <v>94.12</v>
      </c>
      <c r="E31" s="144" t="s">
        <v>140</v>
      </c>
      <c r="F31" s="145"/>
      <c r="G31" s="47">
        <f t="shared" ref="G31" si="5">D31*F31</f>
        <v>0</v>
      </c>
      <c r="H31" s="629"/>
      <c r="I31" s="10"/>
      <c r="J31" s="629"/>
      <c r="P31" s="17"/>
    </row>
    <row r="32" spans="1:16" s="10" customFormat="1" ht="56.25" customHeight="1" thickBot="1" x14ac:dyDescent="0.35">
      <c r="A32" s="627">
        <f>+A31+0.01</f>
        <v>5.0399999999999991</v>
      </c>
      <c r="B32" s="430" t="s">
        <v>246</v>
      </c>
      <c r="C32" s="430" t="e">
        <f>+#REF!*2.42*1.05</f>
        <v>#REF!</v>
      </c>
      <c r="D32" s="619">
        <f>+(1*2.1*10.76)</f>
        <v>22.596</v>
      </c>
      <c r="E32" s="237" t="s">
        <v>140</v>
      </c>
      <c r="F32" s="370"/>
      <c r="G32" s="283">
        <f>D32*F32</f>
        <v>0</v>
      </c>
      <c r="H32" s="629"/>
      <c r="J32" s="629"/>
    </row>
    <row r="33" spans="1:10" ht="32.25" customHeight="1" thickBot="1" x14ac:dyDescent="0.5">
      <c r="A33" s="622">
        <f>+A28+1</f>
        <v>6</v>
      </c>
      <c r="B33" s="623" t="s">
        <v>16</v>
      </c>
      <c r="C33" s="624"/>
      <c r="D33" s="613"/>
      <c r="E33" s="613"/>
      <c r="F33" s="625"/>
      <c r="G33" s="625"/>
      <c r="H33" s="626">
        <f>SUM(G34:G35)</f>
        <v>0</v>
      </c>
      <c r="J33" s="616">
        <f>+H33</f>
        <v>0</v>
      </c>
    </row>
    <row r="34" spans="1:10" s="10" customFormat="1" ht="56.25" customHeight="1" x14ac:dyDescent="0.3">
      <c r="A34" s="627">
        <f>+A33+0.01</f>
        <v>6.01</v>
      </c>
      <c r="B34" s="430" t="s">
        <v>247</v>
      </c>
      <c r="C34" s="430" t="e">
        <f>+#REF!*2.42*1.05</f>
        <v>#REF!</v>
      </c>
      <c r="D34" s="619">
        <f>+(((5.9*2*2.7)-(2.1*2))+(((0.91+0.85)*2)*3.9)*1.15)+(11.12*2.7)</f>
        <v>73.47120000000001</v>
      </c>
      <c r="E34" s="237" t="s">
        <v>171</v>
      </c>
      <c r="F34" s="370"/>
      <c r="G34" s="283">
        <f t="shared" ref="G34:G35" si="6">D34*F34</f>
        <v>0</v>
      </c>
      <c r="H34" s="629"/>
      <c r="J34" s="629"/>
    </row>
    <row r="35" spans="1:10" s="10" customFormat="1" ht="58.5" customHeight="1" thickBot="1" x14ac:dyDescent="0.35">
      <c r="A35" s="627">
        <f>+A34+0.01</f>
        <v>6.02</v>
      </c>
      <c r="B35" s="430" t="s">
        <v>248</v>
      </c>
      <c r="C35" s="430" t="e">
        <f>+#REF!*2.42*1.05</f>
        <v>#REF!</v>
      </c>
      <c r="D35" s="619">
        <f>+(6.85+11.129*1)</f>
        <v>17.978999999999999</v>
      </c>
      <c r="E35" s="237" t="s">
        <v>171</v>
      </c>
      <c r="F35" s="370"/>
      <c r="G35" s="283">
        <f t="shared" si="6"/>
        <v>0</v>
      </c>
      <c r="H35" s="629"/>
      <c r="J35" s="629"/>
    </row>
    <row r="36" spans="1:10" ht="32.25" customHeight="1" thickBot="1" x14ac:dyDescent="0.5">
      <c r="A36" s="622">
        <f>+A33+1</f>
        <v>7</v>
      </c>
      <c r="B36" s="623" t="s">
        <v>17</v>
      </c>
      <c r="C36" s="624"/>
      <c r="D36" s="613"/>
      <c r="E36" s="613"/>
      <c r="F36" s="625"/>
      <c r="G36" s="625"/>
      <c r="H36" s="626">
        <f>SUM(G37:G43)</f>
        <v>0</v>
      </c>
      <c r="J36" s="616">
        <f>+H36</f>
        <v>0</v>
      </c>
    </row>
    <row r="37" spans="1:10" s="10" customFormat="1" ht="53.25" customHeight="1" x14ac:dyDescent="0.3">
      <c r="A37" s="627">
        <f>+A36+0.01</f>
        <v>7.01</v>
      </c>
      <c r="B37" s="430" t="s">
        <v>249</v>
      </c>
      <c r="C37" s="430">
        <f>+((9.19*21.87)-(5.19*2.88)-(3.26*2.54))*1.05</f>
        <v>186.64558500000001</v>
      </c>
      <c r="D37" s="619">
        <f>2.1*0.6</f>
        <v>1.26</v>
      </c>
      <c r="E37" s="237" t="s">
        <v>171</v>
      </c>
      <c r="F37" s="370"/>
      <c r="G37" s="283">
        <f>D37*F37</f>
        <v>0</v>
      </c>
      <c r="H37" s="629"/>
      <c r="J37" s="629"/>
    </row>
    <row r="38" spans="1:10" s="10" customFormat="1" ht="53.25" customHeight="1" x14ac:dyDescent="0.3">
      <c r="A38" s="627">
        <f t="shared" ref="A38:A43" si="7">+A37+0.01</f>
        <v>7.02</v>
      </c>
      <c r="B38" s="430" t="s">
        <v>250</v>
      </c>
      <c r="C38" s="430"/>
      <c r="D38" s="619">
        <f>1.6*0.6*10.76</f>
        <v>10.329599999999999</v>
      </c>
      <c r="E38" s="237" t="s">
        <v>140</v>
      </c>
      <c r="F38" s="370"/>
      <c r="G38" s="234">
        <f>D38*F38</f>
        <v>0</v>
      </c>
      <c r="H38" s="629"/>
      <c r="J38" s="629"/>
    </row>
    <row r="39" spans="1:10" s="10" customFormat="1" ht="57.75" customHeight="1" x14ac:dyDescent="0.3">
      <c r="A39" s="627">
        <f t="shared" si="7"/>
        <v>7.0299999999999994</v>
      </c>
      <c r="B39" s="430" t="s">
        <v>251</v>
      </c>
      <c r="C39" s="430"/>
      <c r="D39" s="619">
        <v>2.6</v>
      </c>
      <c r="E39" s="237" t="s">
        <v>18</v>
      </c>
      <c r="F39" s="370"/>
      <c r="G39" s="234">
        <f t="shared" ref="G39:G43" si="8">D39*F39</f>
        <v>0</v>
      </c>
      <c r="H39" s="629"/>
      <c r="J39" s="629"/>
    </row>
    <row r="40" spans="1:10" s="10" customFormat="1" ht="50.25" customHeight="1" x14ac:dyDescent="0.3">
      <c r="A40" s="627">
        <f t="shared" si="7"/>
        <v>7.0399999999999991</v>
      </c>
      <c r="B40" s="430" t="s">
        <v>252</v>
      </c>
      <c r="C40" s="430"/>
      <c r="D40" s="619">
        <f>+D39</f>
        <v>2.6</v>
      </c>
      <c r="E40" s="237" t="s">
        <v>18</v>
      </c>
      <c r="F40" s="370"/>
      <c r="G40" s="234">
        <f t="shared" si="8"/>
        <v>0</v>
      </c>
      <c r="H40" s="629"/>
      <c r="J40" s="629"/>
    </row>
    <row r="41" spans="1:10" s="10" customFormat="1" ht="40.5" customHeight="1" x14ac:dyDescent="0.3">
      <c r="A41" s="627">
        <f>+A40+0.01</f>
        <v>7.0499999999999989</v>
      </c>
      <c r="B41" s="634" t="s">
        <v>253</v>
      </c>
      <c r="C41" s="430"/>
      <c r="D41" s="619">
        <f>12.05*6.85</f>
        <v>82.542500000000004</v>
      </c>
      <c r="E41" s="237" t="s">
        <v>171</v>
      </c>
      <c r="F41" s="370"/>
      <c r="G41" s="234">
        <f t="shared" si="8"/>
        <v>0</v>
      </c>
      <c r="H41" s="629"/>
      <c r="J41" s="629"/>
    </row>
    <row r="42" spans="1:10" s="10" customFormat="1" ht="57" customHeight="1" x14ac:dyDescent="0.3">
      <c r="A42" s="627">
        <f t="shared" si="7"/>
        <v>7.0599999999999987</v>
      </c>
      <c r="B42" s="634" t="s">
        <v>254</v>
      </c>
      <c r="C42" s="430"/>
      <c r="D42" s="619">
        <f>5.9*2</f>
        <v>11.8</v>
      </c>
      <c r="E42" s="237" t="s">
        <v>18</v>
      </c>
      <c r="F42" s="370"/>
      <c r="G42" s="234">
        <f t="shared" si="8"/>
        <v>0</v>
      </c>
      <c r="H42" s="629"/>
      <c r="J42" s="629"/>
    </row>
    <row r="43" spans="1:10" s="10" customFormat="1" ht="34.5" customHeight="1" x14ac:dyDescent="0.3">
      <c r="A43" s="627">
        <f t="shared" si="7"/>
        <v>7.0699999999999985</v>
      </c>
      <c r="B43" s="634" t="s">
        <v>255</v>
      </c>
      <c r="C43" s="430"/>
      <c r="D43" s="619">
        <f>+D41</f>
        <v>82.542500000000004</v>
      </c>
      <c r="E43" s="237" t="s">
        <v>171</v>
      </c>
      <c r="F43" s="370"/>
      <c r="G43" s="234">
        <f t="shared" si="8"/>
        <v>0</v>
      </c>
      <c r="H43" s="629"/>
      <c r="J43" s="629"/>
    </row>
    <row r="44" spans="1:10" ht="5.25" customHeight="1" thickBot="1" x14ac:dyDescent="0.5">
      <c r="A44" s="535"/>
      <c r="B44" s="630"/>
      <c r="C44" s="523"/>
      <c r="D44" s="524"/>
      <c r="E44" s="524"/>
      <c r="F44" s="631"/>
      <c r="G44" s="635"/>
      <c r="H44" s="632"/>
      <c r="J44" s="632"/>
    </row>
    <row r="45" spans="1:10" ht="27" customHeight="1" thickBot="1" x14ac:dyDescent="0.5">
      <c r="A45" s="622"/>
      <c r="B45" s="636" t="s">
        <v>20</v>
      </c>
      <c r="C45" s="637"/>
      <c r="D45" s="638"/>
      <c r="E45" s="638"/>
      <c r="F45" s="639"/>
      <c r="G45" s="640"/>
      <c r="H45" s="626">
        <f>SUM(H11:H44)</f>
        <v>0</v>
      </c>
      <c r="J45" s="626">
        <f>SUM(J11:J44)</f>
        <v>0</v>
      </c>
    </row>
    <row r="46" spans="1:10" ht="6" customHeight="1" thickBot="1" x14ac:dyDescent="0.5">
      <c r="A46" s="641"/>
      <c r="B46" s="642"/>
      <c r="C46" s="643"/>
      <c r="D46" s="524"/>
      <c r="E46" s="524"/>
      <c r="F46" s="631"/>
      <c r="G46" s="635"/>
      <c r="H46" s="632"/>
      <c r="J46" s="632"/>
    </row>
    <row r="47" spans="1:10" ht="30.6" thickBot="1" x14ac:dyDescent="0.5">
      <c r="A47" s="644"/>
      <c r="B47" s="645" t="s">
        <v>5</v>
      </c>
      <c r="C47" s="646"/>
      <c r="D47" s="491"/>
      <c r="E47" s="492"/>
      <c r="F47" s="493"/>
      <c r="G47" s="493"/>
      <c r="H47" s="647"/>
      <c r="J47" s="647"/>
    </row>
    <row r="48" spans="1:10" s="71" customFormat="1" ht="31.5" customHeight="1" x14ac:dyDescent="0.45">
      <c r="A48" s="627"/>
      <c r="B48" s="254" t="s">
        <v>23</v>
      </c>
      <c r="C48" s="648">
        <v>0.02</v>
      </c>
      <c r="D48" s="648"/>
      <c r="E48" s="648"/>
      <c r="F48" s="649">
        <f>+C48*H45</f>
        <v>0</v>
      </c>
      <c r="G48" s="497"/>
      <c r="H48" s="650"/>
      <c r="J48" s="651">
        <f>+C48*J45</f>
        <v>0</v>
      </c>
    </row>
    <row r="49" spans="1:10" s="71" customFormat="1" ht="25.2" x14ac:dyDescent="0.45">
      <c r="A49" s="652"/>
      <c r="B49" s="285" t="s">
        <v>24</v>
      </c>
      <c r="C49" s="653">
        <v>0.1</v>
      </c>
      <c r="D49" s="653"/>
      <c r="E49" s="653"/>
      <c r="F49" s="654">
        <f>+C49*H45</f>
        <v>0</v>
      </c>
      <c r="G49" s="501"/>
      <c r="H49" s="655"/>
      <c r="J49" s="656">
        <f>+C49*J45</f>
        <v>0</v>
      </c>
    </row>
    <row r="50" spans="1:10" s="71" customFormat="1" ht="31.5" customHeight="1" x14ac:dyDescent="0.45">
      <c r="A50" s="652"/>
      <c r="B50" s="285" t="s">
        <v>25</v>
      </c>
      <c r="C50" s="653">
        <v>0.03</v>
      </c>
      <c r="D50" s="653"/>
      <c r="E50" s="653"/>
      <c r="F50" s="654">
        <f>+C50*H45</f>
        <v>0</v>
      </c>
      <c r="G50" s="501"/>
      <c r="H50" s="655"/>
      <c r="J50" s="656">
        <f>+C50*J45</f>
        <v>0</v>
      </c>
    </row>
    <row r="51" spans="1:10" s="71" customFormat="1" ht="31.5" customHeight="1" x14ac:dyDescent="0.45">
      <c r="A51" s="652"/>
      <c r="B51" s="285" t="s">
        <v>26</v>
      </c>
      <c r="C51" s="653">
        <v>0.05</v>
      </c>
      <c r="D51" s="653"/>
      <c r="E51" s="653"/>
      <c r="F51" s="654">
        <f>+C51*H45</f>
        <v>0</v>
      </c>
      <c r="G51" s="501"/>
      <c r="H51" s="655"/>
      <c r="J51" s="656">
        <f>+C51*J45</f>
        <v>0</v>
      </c>
    </row>
    <row r="52" spans="1:10" s="71" customFormat="1" ht="31.5" customHeight="1" x14ac:dyDescent="0.45">
      <c r="A52" s="652"/>
      <c r="B52" s="285" t="s">
        <v>27</v>
      </c>
      <c r="C52" s="653">
        <v>0.01</v>
      </c>
      <c r="D52" s="653"/>
      <c r="E52" s="653"/>
      <c r="F52" s="654">
        <f>+C52*H45</f>
        <v>0</v>
      </c>
      <c r="G52" s="501"/>
      <c r="H52" s="655"/>
      <c r="J52" s="656">
        <f>+C52*J45</f>
        <v>0</v>
      </c>
    </row>
    <row r="53" spans="1:10" s="71" customFormat="1" ht="31.5" customHeight="1" x14ac:dyDescent="0.45">
      <c r="A53" s="652"/>
      <c r="B53" s="285" t="s">
        <v>28</v>
      </c>
      <c r="C53" s="653">
        <v>0.05</v>
      </c>
      <c r="D53" s="653"/>
      <c r="E53" s="653"/>
      <c r="F53" s="654">
        <f>+C53*H45</f>
        <v>0</v>
      </c>
      <c r="G53" s="501"/>
      <c r="H53" s="655"/>
      <c r="J53" s="656">
        <f>+C53*J45</f>
        <v>0</v>
      </c>
    </row>
    <row r="54" spans="1:10" s="71" customFormat="1" ht="31.5" customHeight="1" x14ac:dyDescent="0.45">
      <c r="A54" s="652"/>
      <c r="B54" s="285" t="s">
        <v>29</v>
      </c>
      <c r="C54" s="653">
        <v>1E-3</v>
      </c>
      <c r="D54" s="653">
        <v>1E-4</v>
      </c>
      <c r="E54" s="653"/>
      <c r="F54" s="654">
        <f>+C54*H45</f>
        <v>0</v>
      </c>
      <c r="G54" s="501"/>
      <c r="H54" s="655"/>
      <c r="J54" s="656">
        <f>+C54*J45</f>
        <v>0</v>
      </c>
    </row>
    <row r="55" spans="1:10" s="71" customFormat="1" ht="31.5" customHeight="1" thickBot="1" x14ac:dyDescent="0.5">
      <c r="A55" s="657"/>
      <c r="B55" s="287" t="s">
        <v>30</v>
      </c>
      <c r="C55" s="658">
        <v>0.18</v>
      </c>
      <c r="D55" s="658"/>
      <c r="E55" s="658"/>
      <c r="F55" s="654">
        <f>+C55*F49</f>
        <v>0</v>
      </c>
      <c r="G55" s="501"/>
      <c r="H55" s="659">
        <f>SUM(F48:F55)</f>
        <v>0</v>
      </c>
      <c r="J55" s="659">
        <f>+C55*J49</f>
        <v>0</v>
      </c>
    </row>
    <row r="56" spans="1:10" ht="39" customHeight="1" thickBot="1" x14ac:dyDescent="0.5">
      <c r="A56" s="644"/>
      <c r="B56" s="645" t="s">
        <v>256</v>
      </c>
      <c r="C56" s="646"/>
      <c r="D56" s="491" t="s">
        <v>72</v>
      </c>
      <c r="E56" s="492"/>
      <c r="F56" s="493"/>
      <c r="G56" s="493"/>
      <c r="H56" s="660">
        <f>SUM(H45:H55)</f>
        <v>0</v>
      </c>
      <c r="J56" s="660">
        <f>SUM(J45:J55)</f>
        <v>0</v>
      </c>
    </row>
    <row r="57" spans="1:10" x14ac:dyDescent="0.25">
      <c r="A57" s="559"/>
      <c r="B57" s="304"/>
      <c r="C57" s="305"/>
      <c r="D57" s="306"/>
      <c r="E57" s="306"/>
      <c r="H57" s="560"/>
      <c r="J57" s="560"/>
    </row>
    <row r="58" spans="1:10" ht="33" customHeight="1" x14ac:dyDescent="0.3">
      <c r="B58" s="561" t="s">
        <v>163</v>
      </c>
      <c r="C58" s="561"/>
      <c r="D58" s="561"/>
      <c r="E58" s="561"/>
      <c r="F58" s="561"/>
      <c r="G58" s="561"/>
      <c r="H58" s="561"/>
      <c r="J58" s="1"/>
    </row>
    <row r="59" spans="1:10" ht="24" customHeight="1" x14ac:dyDescent="0.3">
      <c r="B59" s="561" t="s">
        <v>164</v>
      </c>
      <c r="C59" s="561"/>
      <c r="D59" s="561"/>
      <c r="E59" s="561"/>
      <c r="F59" s="561"/>
      <c r="G59" s="561"/>
      <c r="H59" s="561"/>
      <c r="J59" s="1"/>
    </row>
    <row r="60" spans="1:10" ht="25.5" customHeight="1" x14ac:dyDescent="0.3">
      <c r="B60" s="561" t="s">
        <v>165</v>
      </c>
      <c r="C60" s="561"/>
      <c r="D60" s="561"/>
      <c r="E60" s="561"/>
      <c r="F60" s="561"/>
      <c r="G60" s="561"/>
      <c r="H60" s="561"/>
      <c r="J60" s="1"/>
    </row>
    <row r="61" spans="1:10" ht="30" customHeight="1" x14ac:dyDescent="0.25">
      <c r="A61" s="559"/>
      <c r="B61" s="304"/>
      <c r="C61" s="305"/>
      <c r="D61" s="306"/>
      <c r="E61" s="306"/>
      <c r="H61" s="560"/>
      <c r="J61" s="560"/>
    </row>
    <row r="62" spans="1:10" ht="30" customHeight="1" x14ac:dyDescent="0.25">
      <c r="A62" s="228"/>
      <c r="B62" s="304"/>
      <c r="C62" s="305"/>
      <c r="D62" s="306"/>
      <c r="E62" s="306"/>
      <c r="H62" s="560"/>
      <c r="J62" s="560"/>
    </row>
    <row r="63" spans="1:10" s="666" customFormat="1" ht="30" customHeight="1" x14ac:dyDescent="0.25">
      <c r="A63" s="661"/>
      <c r="B63" s="662"/>
      <c r="C63" s="663"/>
      <c r="D63" s="664"/>
      <c r="E63" s="665"/>
      <c r="F63" s="665"/>
      <c r="G63" s="665"/>
      <c r="H63" s="665"/>
    </row>
    <row r="64" spans="1:10" s="670" customFormat="1" ht="30" customHeight="1" x14ac:dyDescent="0.3">
      <c r="A64" s="667"/>
      <c r="B64" s="668" t="s">
        <v>32</v>
      </c>
      <c r="C64" s="663"/>
      <c r="D64" s="664"/>
      <c r="E64" s="669" t="s">
        <v>33</v>
      </c>
      <c r="F64" s="669"/>
      <c r="G64" s="669"/>
      <c r="H64" s="669"/>
    </row>
    <row r="65" spans="1:10" ht="30" customHeight="1" x14ac:dyDescent="0.25">
      <c r="A65" s="228"/>
      <c r="B65" s="304"/>
      <c r="C65" s="305"/>
      <c r="D65" s="306"/>
      <c r="E65" s="306"/>
      <c r="H65" s="560"/>
      <c r="J65" s="560"/>
    </row>
    <row r="66" spans="1:10" ht="30" customHeight="1" x14ac:dyDescent="0.25">
      <c r="A66" s="1"/>
    </row>
    <row r="67" spans="1:10" ht="30" customHeight="1" x14ac:dyDescent="0.25">
      <c r="A67" s="1"/>
    </row>
    <row r="68" spans="1:10" ht="30" customHeight="1" x14ac:dyDescent="0.25">
      <c r="A68" s="1"/>
    </row>
    <row r="69" spans="1:10" ht="30" customHeight="1" x14ac:dyDescent="0.25">
      <c r="A69" s="1"/>
    </row>
    <row r="70" spans="1:10" ht="30" customHeight="1" x14ac:dyDescent="0.25">
      <c r="A70" s="1"/>
    </row>
    <row r="71" spans="1:10" ht="30" customHeight="1" x14ac:dyDescent="0.25">
      <c r="A71" s="1"/>
    </row>
    <row r="72" spans="1:10" ht="30" customHeight="1" x14ac:dyDescent="0.25">
      <c r="A72" s="1"/>
    </row>
    <row r="73" spans="1:10" ht="30" customHeight="1" x14ac:dyDescent="0.25">
      <c r="A73" s="1"/>
    </row>
    <row r="74" spans="1:10" ht="30" customHeight="1" x14ac:dyDescent="0.25">
      <c r="A74" s="1"/>
    </row>
    <row r="75" spans="1:10" ht="30" customHeight="1" x14ac:dyDescent="0.25">
      <c r="A75" s="1"/>
    </row>
    <row r="76" spans="1:10" ht="30" customHeight="1" x14ac:dyDescent="0.25">
      <c r="A76" s="1"/>
    </row>
    <row r="77" spans="1:10" ht="30" customHeight="1" x14ac:dyDescent="0.25">
      <c r="A77" s="1"/>
    </row>
    <row r="78" spans="1:10" ht="30" customHeight="1" x14ac:dyDescent="0.25">
      <c r="A78" s="1"/>
      <c r="B78" s="326"/>
      <c r="C78" s="1"/>
      <c r="E78" s="1"/>
      <c r="F78" s="228"/>
      <c r="H78" s="1"/>
      <c r="J78" s="1"/>
    </row>
    <row r="79" spans="1:10" ht="30" customHeight="1" x14ac:dyDescent="0.25">
      <c r="A79" s="1"/>
      <c r="B79" s="326"/>
      <c r="C79" s="1"/>
      <c r="E79" s="1"/>
      <c r="F79" s="228"/>
      <c r="H79" s="1"/>
      <c r="J79" s="1"/>
    </row>
  </sheetData>
  <mergeCells count="18">
    <mergeCell ref="C55:E55"/>
    <mergeCell ref="B58:H58"/>
    <mergeCell ref="B59:H59"/>
    <mergeCell ref="B60:H60"/>
    <mergeCell ref="E63:H63"/>
    <mergeCell ref="E64:H64"/>
    <mergeCell ref="C49:E49"/>
    <mergeCell ref="C50:E50"/>
    <mergeCell ref="C51:E51"/>
    <mergeCell ref="C52:E52"/>
    <mergeCell ref="C53:E53"/>
    <mergeCell ref="C54:E54"/>
    <mergeCell ref="A2:H2"/>
    <mergeCell ref="A3:H3"/>
    <mergeCell ref="A4:H4"/>
    <mergeCell ref="A5:H5"/>
    <mergeCell ref="A7:H7"/>
    <mergeCell ref="C48:E4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opLeftCell="A41" zoomScale="60" zoomScaleNormal="60" workbookViewId="0">
      <selection activeCell="J43" sqref="J43"/>
    </sheetView>
  </sheetViews>
  <sheetFormatPr baseColWidth="10" defaultColWidth="9.109375" defaultRowHeight="13.8" x14ac:dyDescent="0.25"/>
  <cols>
    <col min="1" max="1" width="11.33203125" style="10" customWidth="1"/>
    <col min="2" max="2" width="89.33203125" style="13" customWidth="1"/>
    <col min="3" max="3" width="25.109375" style="14" hidden="1" customWidth="1"/>
    <col min="4" max="4" width="15.109375" style="15" bestFit="1" customWidth="1"/>
    <col min="5" max="5" width="11" style="15" bestFit="1" customWidth="1"/>
    <col min="6" max="6" width="22.33203125" style="16" bestFit="1" customWidth="1"/>
    <col min="7" max="7" width="22.88671875" style="1" customWidth="1"/>
    <col min="8" max="8" width="28.6640625" style="17" bestFit="1" customWidth="1"/>
    <col min="9" max="9" width="11.5546875" style="1" bestFit="1" customWidth="1"/>
    <col min="10" max="10" width="8.6640625" style="1" customWidth="1"/>
    <col min="11" max="11" width="0.88671875" style="1" hidden="1" customWidth="1"/>
    <col min="12" max="12" width="20.44140625" style="1" hidden="1" customWidth="1"/>
    <col min="13" max="13" width="18.6640625" style="1" hidden="1" customWidth="1"/>
    <col min="14" max="14" width="36.109375" style="1" hidden="1" customWidth="1"/>
    <col min="15" max="16384" width="9.109375" style="1"/>
  </cols>
  <sheetData>
    <row r="1" spans="1:14" ht="25.2" x14ac:dyDescent="0.45">
      <c r="A1" s="9"/>
      <c r="B1" s="2"/>
      <c r="C1" s="3"/>
      <c r="D1" s="4"/>
      <c r="E1" s="4"/>
      <c r="F1" s="5"/>
      <c r="G1" s="6"/>
      <c r="H1" s="12"/>
    </row>
    <row r="2" spans="1:14" s="31" customFormat="1" ht="24.75" customHeight="1" x14ac:dyDescent="0.5">
      <c r="A2" s="124" t="s">
        <v>34</v>
      </c>
      <c r="B2" s="124"/>
      <c r="C2" s="124"/>
      <c r="D2" s="124"/>
      <c r="E2" s="124"/>
      <c r="F2" s="124"/>
      <c r="G2" s="124"/>
      <c r="H2" s="124"/>
    </row>
    <row r="3" spans="1:14" s="31" customFormat="1" ht="24.75" customHeight="1" x14ac:dyDescent="0.5">
      <c r="A3" s="124" t="s">
        <v>35</v>
      </c>
      <c r="B3" s="124"/>
      <c r="C3" s="124"/>
      <c r="D3" s="124"/>
      <c r="E3" s="124"/>
      <c r="F3" s="124"/>
      <c r="G3" s="124"/>
      <c r="H3" s="124"/>
    </row>
    <row r="4" spans="1:14" s="31" customFormat="1" ht="24.75" customHeight="1" x14ac:dyDescent="0.5">
      <c r="A4" s="124" t="s">
        <v>36</v>
      </c>
      <c r="B4" s="124"/>
      <c r="C4" s="124"/>
      <c r="D4" s="124"/>
      <c r="E4" s="124"/>
      <c r="F4" s="124"/>
      <c r="G4" s="124"/>
      <c r="H4" s="124"/>
    </row>
    <row r="5" spans="1:14" s="31" customFormat="1" ht="58.5" customHeight="1" x14ac:dyDescent="0.3">
      <c r="B5" s="125" t="s">
        <v>55</v>
      </c>
      <c r="C5" s="125"/>
      <c r="D5" s="125"/>
      <c r="E5" s="125"/>
      <c r="F5" s="125"/>
      <c r="G5" s="125"/>
      <c r="H5" s="125"/>
    </row>
    <row r="6" spans="1:14" s="25" customFormat="1" ht="6" customHeight="1" x14ac:dyDescent="0.5">
      <c r="A6" s="32"/>
      <c r="B6" s="33"/>
      <c r="C6" s="34"/>
      <c r="D6" s="34"/>
      <c r="E6" s="34"/>
      <c r="F6" s="35"/>
      <c r="G6" s="36"/>
      <c r="H6" s="35"/>
    </row>
    <row r="7" spans="1:14" s="25" customFormat="1" ht="26.25" customHeight="1" x14ac:dyDescent="0.3">
      <c r="A7" s="126" t="s">
        <v>37</v>
      </c>
      <c r="B7" s="126"/>
      <c r="C7" s="126"/>
      <c r="D7" s="126"/>
      <c r="E7" s="126"/>
      <c r="F7" s="126"/>
      <c r="G7" s="126"/>
      <c r="H7" s="126"/>
    </row>
    <row r="8" spans="1:14" ht="8.25" customHeight="1" thickBot="1" x14ac:dyDescent="0.5">
      <c r="A8" s="9"/>
      <c r="B8" s="2"/>
      <c r="C8" s="3"/>
      <c r="D8" s="4"/>
      <c r="E8" s="4"/>
      <c r="F8" s="5"/>
      <c r="G8" s="6"/>
      <c r="H8" s="12"/>
    </row>
    <row r="9" spans="1:14" ht="36" customHeight="1" thickBot="1" x14ac:dyDescent="0.3">
      <c r="A9" s="26" t="s">
        <v>0</v>
      </c>
      <c r="B9" s="27" t="s">
        <v>6</v>
      </c>
      <c r="C9" s="28" t="s">
        <v>22</v>
      </c>
      <c r="D9" s="29" t="s">
        <v>21</v>
      </c>
      <c r="E9" s="29" t="s">
        <v>1</v>
      </c>
      <c r="F9" s="29" t="s">
        <v>2</v>
      </c>
      <c r="G9" s="29" t="s">
        <v>3</v>
      </c>
      <c r="H9" s="30" t="s">
        <v>4</v>
      </c>
      <c r="L9" s="1" t="s">
        <v>7</v>
      </c>
      <c r="M9" s="1" t="s">
        <v>8</v>
      </c>
      <c r="N9" s="1" t="s">
        <v>9</v>
      </c>
    </row>
    <row r="10" spans="1:14" ht="8.25" customHeight="1" thickBot="1" x14ac:dyDescent="0.5">
      <c r="A10" s="38"/>
      <c r="B10" s="2"/>
      <c r="C10" s="3"/>
      <c r="D10" s="4"/>
      <c r="E10" s="4"/>
      <c r="F10" s="5"/>
      <c r="G10" s="6"/>
      <c r="H10" s="7"/>
      <c r="K10" s="1" t="s">
        <v>10</v>
      </c>
      <c r="L10" s="1">
        <f>39600+29750+38700+28500+45900+32300+96000+35000</f>
        <v>345750</v>
      </c>
      <c r="M10" s="1">
        <v>300000</v>
      </c>
      <c r="N10" s="1">
        <v>368000</v>
      </c>
    </row>
    <row r="11" spans="1:14" ht="25.8" thickBot="1" x14ac:dyDescent="0.45">
      <c r="A11" s="59">
        <v>1</v>
      </c>
      <c r="B11" s="58" t="s">
        <v>13</v>
      </c>
      <c r="C11" s="49"/>
      <c r="D11" s="106"/>
      <c r="E11" s="107"/>
      <c r="F11" s="107"/>
      <c r="G11" s="107"/>
      <c r="H11" s="69" t="e">
        <f>SUM(G12:G15)</f>
        <v>#REF!</v>
      </c>
      <c r="K11" s="1" t="s">
        <v>11</v>
      </c>
      <c r="L11" s="1">
        <f>62100+5520+11675+3500</f>
        <v>82795</v>
      </c>
      <c r="N11" s="1">
        <f>116000</f>
        <v>116000</v>
      </c>
    </row>
    <row r="12" spans="1:14" ht="34.5" customHeight="1" x14ac:dyDescent="0.25">
      <c r="A12" s="74">
        <f t="shared" ref="A12" si="0">+A11+0.01</f>
        <v>1.01</v>
      </c>
      <c r="B12" s="72" t="s">
        <v>15</v>
      </c>
      <c r="C12" s="39"/>
      <c r="D12" s="77" t="e">
        <f>#REF!</f>
        <v>#REF!</v>
      </c>
      <c r="E12" s="41" t="s">
        <v>39</v>
      </c>
      <c r="F12" s="42">
        <v>50</v>
      </c>
      <c r="G12" s="47" t="e">
        <f t="shared" ref="G12:G15" si="1">D12*F12</f>
        <v>#REF!</v>
      </c>
      <c r="H12" s="117"/>
    </row>
    <row r="13" spans="1:14" ht="50.4" x14ac:dyDescent="0.25">
      <c r="A13" s="74">
        <f t="shared" ref="A13:A15" si="2">+A12+0.01</f>
        <v>1.02</v>
      </c>
      <c r="B13" s="72" t="s">
        <v>45</v>
      </c>
      <c r="C13" s="39"/>
      <c r="D13" s="77">
        <v>4</v>
      </c>
      <c r="E13" s="41" t="s">
        <v>12</v>
      </c>
      <c r="F13" s="42">
        <v>50</v>
      </c>
      <c r="G13" s="47">
        <f t="shared" si="1"/>
        <v>200</v>
      </c>
      <c r="H13" s="117"/>
    </row>
    <row r="14" spans="1:14" ht="25.2" x14ac:dyDescent="0.25">
      <c r="A14" s="74">
        <f t="shared" si="2"/>
        <v>1.03</v>
      </c>
      <c r="B14" s="72" t="s">
        <v>46</v>
      </c>
      <c r="C14" s="39"/>
      <c r="D14" s="77">
        <v>4</v>
      </c>
      <c r="E14" s="41" t="s">
        <v>12</v>
      </c>
      <c r="F14" s="42">
        <v>50</v>
      </c>
      <c r="G14" s="47">
        <f t="shared" si="1"/>
        <v>200</v>
      </c>
      <c r="H14" s="117"/>
    </row>
    <row r="15" spans="1:14" ht="32.25" customHeight="1" x14ac:dyDescent="0.25">
      <c r="A15" s="74">
        <f t="shared" si="2"/>
        <v>1.04</v>
      </c>
      <c r="B15" s="73" t="s">
        <v>14</v>
      </c>
      <c r="C15" s="40"/>
      <c r="D15" s="82">
        <v>1</v>
      </c>
      <c r="E15" s="42" t="s">
        <v>42</v>
      </c>
      <c r="F15" s="42">
        <v>4800</v>
      </c>
      <c r="G15" s="47">
        <f t="shared" si="1"/>
        <v>4800</v>
      </c>
      <c r="H15" s="118"/>
    </row>
    <row r="16" spans="1:14" ht="4.5" customHeight="1" thickBot="1" x14ac:dyDescent="0.3">
      <c r="A16" s="101"/>
      <c r="B16" s="101"/>
      <c r="C16" s="101"/>
      <c r="D16" s="101"/>
      <c r="E16" s="101"/>
      <c r="F16" s="101"/>
      <c r="G16" s="101"/>
      <c r="H16" s="119"/>
    </row>
    <row r="17" spans="1:8" ht="25.8" thickBot="1" x14ac:dyDescent="0.3">
      <c r="A17" s="51">
        <v>2</v>
      </c>
      <c r="B17" s="57" t="s">
        <v>38</v>
      </c>
      <c r="C17" s="50"/>
      <c r="D17" s="106"/>
      <c r="E17" s="107"/>
      <c r="F17" s="107"/>
      <c r="G17" s="107"/>
      <c r="H17" s="69" t="e">
        <f>SUM(G18:G19)</f>
        <v>#REF!</v>
      </c>
    </row>
    <row r="18" spans="1:8" s="79" customFormat="1" ht="49.5" customHeight="1" x14ac:dyDescent="0.25">
      <c r="A18" s="74">
        <f t="shared" ref="A18:A19" si="3">+A17+0.01</f>
        <v>2.0099999999999998</v>
      </c>
      <c r="B18" s="75" t="s">
        <v>49</v>
      </c>
      <c r="C18" s="76">
        <f>+(5.54+0.8+4.09-0.3+2.93+3.05+3.05+4.09+3.05)*2.5</f>
        <v>65.75</v>
      </c>
      <c r="D18" s="77" t="e">
        <f>#REF!</f>
        <v>#REF!</v>
      </c>
      <c r="E18" s="77" t="s">
        <v>39</v>
      </c>
      <c r="F18" s="77">
        <v>1100</v>
      </c>
      <c r="G18" s="78" t="e">
        <f t="shared" ref="G18:G19" si="4">D18*F18</f>
        <v>#REF!</v>
      </c>
      <c r="H18" s="120"/>
    </row>
    <row r="19" spans="1:8" s="79" customFormat="1" ht="66.75" customHeight="1" x14ac:dyDescent="0.25">
      <c r="A19" s="74">
        <f t="shared" si="3"/>
        <v>2.0199999999999996</v>
      </c>
      <c r="B19" s="75" t="s">
        <v>54</v>
      </c>
      <c r="C19" s="76">
        <f>+(5.54+0.8+4.09-0.3+2.93+3.05+3.05+4.09+3.05)*2.5</f>
        <v>65.75</v>
      </c>
      <c r="D19" s="77">
        <v>1</v>
      </c>
      <c r="E19" s="77" t="s">
        <v>42</v>
      </c>
      <c r="F19" s="77">
        <v>5000</v>
      </c>
      <c r="G19" s="78">
        <f t="shared" si="4"/>
        <v>5000</v>
      </c>
      <c r="H19" s="121"/>
    </row>
    <row r="20" spans="1:8" ht="6.75" customHeight="1" thickBot="1" x14ac:dyDescent="0.3">
      <c r="A20" s="122"/>
      <c r="B20" s="110"/>
      <c r="C20" s="110"/>
      <c r="D20" s="110"/>
      <c r="E20" s="110"/>
      <c r="F20" s="110"/>
      <c r="G20" s="110"/>
      <c r="H20" s="123"/>
    </row>
    <row r="21" spans="1:8" ht="25.8" thickBot="1" x14ac:dyDescent="0.3">
      <c r="A21" s="51">
        <v>3</v>
      </c>
      <c r="B21" s="57" t="s">
        <v>40</v>
      </c>
      <c r="C21" s="50"/>
      <c r="D21" s="106"/>
      <c r="E21" s="107"/>
      <c r="F21" s="107"/>
      <c r="G21" s="107"/>
      <c r="H21" s="69" t="e">
        <f>SUM(G22)</f>
        <v>#REF!</v>
      </c>
    </row>
    <row r="22" spans="1:8" s="79" customFormat="1" ht="50.4" x14ac:dyDescent="0.25">
      <c r="A22" s="74">
        <f t="shared" ref="A22" si="5">+A21+0.01</f>
        <v>3.01</v>
      </c>
      <c r="B22" s="80" t="s">
        <v>48</v>
      </c>
      <c r="C22" s="81" t="s">
        <v>19</v>
      </c>
      <c r="D22" s="77" t="e">
        <f>#REF!</f>
        <v>#REF!</v>
      </c>
      <c r="E22" s="77" t="s">
        <v>18</v>
      </c>
      <c r="F22" s="82">
        <v>85</v>
      </c>
      <c r="G22" s="78" t="e">
        <f t="shared" ref="G22" si="6">D22*F22</f>
        <v>#REF!</v>
      </c>
      <c r="H22" s="83"/>
    </row>
    <row r="23" spans="1:8" s="11" customFormat="1" ht="8.25" customHeight="1" thickBot="1" x14ac:dyDescent="0.3">
      <c r="A23" s="110"/>
      <c r="B23" s="110"/>
      <c r="C23" s="110"/>
      <c r="D23" s="110"/>
      <c r="E23" s="110"/>
      <c r="F23" s="110"/>
      <c r="G23" s="110"/>
      <c r="H23" s="110"/>
    </row>
    <row r="24" spans="1:8" ht="25.8" thickBot="1" x14ac:dyDescent="0.3">
      <c r="A24" s="59">
        <f>+A21+1</f>
        <v>4</v>
      </c>
      <c r="B24" s="57" t="s">
        <v>41</v>
      </c>
      <c r="C24" s="50"/>
      <c r="D24" s="106"/>
      <c r="E24" s="107"/>
      <c r="F24" s="107"/>
      <c r="G24" s="107"/>
      <c r="H24" s="69">
        <f>SUM(G25:G25)</f>
        <v>12000</v>
      </c>
    </row>
    <row r="25" spans="1:8" s="86" customFormat="1" ht="50.4" x14ac:dyDescent="0.3">
      <c r="A25" s="74">
        <f>+A24+0.01</f>
        <v>4.01</v>
      </c>
      <c r="B25" s="84" t="s">
        <v>53</v>
      </c>
      <c r="C25" s="85" t="e">
        <f>+#REF!*2.42*1.05</f>
        <v>#REF!</v>
      </c>
      <c r="D25" s="77">
        <v>1</v>
      </c>
      <c r="E25" s="77" t="s">
        <v>42</v>
      </c>
      <c r="F25" s="78">
        <v>12000</v>
      </c>
      <c r="G25" s="78">
        <f t="shared" ref="G25" si="7">D25*F25</f>
        <v>12000</v>
      </c>
      <c r="H25" s="77"/>
    </row>
    <row r="26" spans="1:8" s="10" customFormat="1" ht="9.75" customHeight="1" thickBot="1" x14ac:dyDescent="0.35">
      <c r="A26" s="9"/>
      <c r="B26" s="43"/>
      <c r="C26" s="43"/>
      <c r="D26" s="48"/>
      <c r="E26" s="44"/>
      <c r="F26" s="45"/>
      <c r="G26" s="46"/>
      <c r="H26" s="44"/>
    </row>
    <row r="27" spans="1:8" s="10" customFormat="1" ht="25.2" thickBot="1" x14ac:dyDescent="0.35">
      <c r="A27" s="59">
        <v>6</v>
      </c>
      <c r="B27" s="52" t="s">
        <v>16</v>
      </c>
      <c r="C27" s="52"/>
      <c r="D27" s="111"/>
      <c r="E27" s="111"/>
      <c r="F27" s="111"/>
      <c r="G27" s="111"/>
      <c r="H27" s="69" t="e">
        <f>SUM(G28)</f>
        <v>#REF!</v>
      </c>
    </row>
    <row r="28" spans="1:8" s="86" customFormat="1" ht="50.4" x14ac:dyDescent="0.3">
      <c r="A28" s="74">
        <f>+A27+0.01</f>
        <v>6.01</v>
      </c>
      <c r="B28" s="84" t="s">
        <v>47</v>
      </c>
      <c r="C28" s="85" t="e">
        <f>+#REF!*2.42*1.05</f>
        <v>#REF!</v>
      </c>
      <c r="D28" s="77" t="e">
        <f>#REF!</f>
        <v>#REF!</v>
      </c>
      <c r="E28" s="77" t="s">
        <v>39</v>
      </c>
      <c r="F28" s="78">
        <v>175</v>
      </c>
      <c r="G28" s="78" t="e">
        <f t="shared" ref="G28" si="8">D28*F28</f>
        <v>#REF!</v>
      </c>
      <c r="H28" s="77"/>
    </row>
    <row r="29" spans="1:8" ht="6" customHeight="1" thickBot="1" x14ac:dyDescent="0.3">
      <c r="A29" s="112"/>
      <c r="B29" s="113"/>
      <c r="C29" s="113"/>
      <c r="D29" s="113"/>
      <c r="E29" s="113"/>
      <c r="F29" s="113"/>
      <c r="G29" s="113"/>
      <c r="H29" s="114"/>
    </row>
    <row r="30" spans="1:8" s="79" customFormat="1" ht="25.2" thickBot="1" x14ac:dyDescent="0.3">
      <c r="A30" s="87">
        <v>7</v>
      </c>
      <c r="B30" s="88" t="s">
        <v>43</v>
      </c>
      <c r="C30" s="88"/>
      <c r="D30" s="115"/>
      <c r="E30" s="115"/>
      <c r="F30" s="115"/>
      <c r="G30" s="115"/>
      <c r="H30" s="91">
        <f>SUM(G31:G33)</f>
        <v>54000</v>
      </c>
    </row>
    <row r="31" spans="1:8" s="79" customFormat="1" ht="25.2" x14ac:dyDescent="0.25">
      <c r="A31" s="74">
        <f>+A30+0.01</f>
        <v>7.01</v>
      </c>
      <c r="B31" s="80" t="s">
        <v>52</v>
      </c>
      <c r="C31" s="81"/>
      <c r="D31" s="82">
        <v>14</v>
      </c>
      <c r="E31" s="82" t="s">
        <v>12</v>
      </c>
      <c r="F31" s="89">
        <v>2000</v>
      </c>
      <c r="G31" s="89">
        <f t="shared" ref="G31" si="9">D31*F31</f>
        <v>28000</v>
      </c>
      <c r="H31" s="116"/>
    </row>
    <row r="32" spans="1:8" s="79" customFormat="1" ht="25.2" x14ac:dyDescent="0.25">
      <c r="A32" s="74">
        <f t="shared" ref="A32:A33" si="10">+A31+0.01</f>
        <v>7.02</v>
      </c>
      <c r="B32" s="80" t="s">
        <v>50</v>
      </c>
      <c r="C32" s="81" t="e">
        <f>+#REF!*2.42*1.05</f>
        <v>#REF!</v>
      </c>
      <c r="D32" s="82">
        <v>8</v>
      </c>
      <c r="E32" s="82" t="s">
        <v>12</v>
      </c>
      <c r="F32" s="89">
        <v>2000</v>
      </c>
      <c r="G32" s="89">
        <f t="shared" ref="G32" si="11">D32*F32</f>
        <v>16000</v>
      </c>
      <c r="H32" s="116"/>
    </row>
    <row r="33" spans="1:8" s="79" customFormat="1" ht="25.2" x14ac:dyDescent="0.25">
      <c r="A33" s="74">
        <f t="shared" si="10"/>
        <v>7.0299999999999994</v>
      </c>
      <c r="B33" s="80" t="s">
        <v>51</v>
      </c>
      <c r="C33" s="90"/>
      <c r="D33" s="82">
        <v>5</v>
      </c>
      <c r="E33" s="82" t="s">
        <v>12</v>
      </c>
      <c r="F33" s="89">
        <v>2000</v>
      </c>
      <c r="G33" s="89">
        <f t="shared" ref="G33" si="12">D33*F33</f>
        <v>10000</v>
      </c>
      <c r="H33" s="116"/>
    </row>
    <row r="34" spans="1:8" ht="6.75" customHeight="1" thickBot="1" x14ac:dyDescent="0.3">
      <c r="A34" s="9"/>
      <c r="B34" s="43"/>
      <c r="C34" s="43"/>
      <c r="D34" s="48"/>
      <c r="E34" s="44"/>
      <c r="F34" s="45"/>
      <c r="G34" s="46"/>
      <c r="H34" s="44"/>
    </row>
    <row r="35" spans="1:8" ht="25.8" thickBot="1" x14ac:dyDescent="0.3">
      <c r="A35" s="59">
        <v>8</v>
      </c>
      <c r="B35" s="57" t="s">
        <v>17</v>
      </c>
      <c r="C35" s="53">
        <f>+((9.19*21.87)-(5.19*2.88)-(3.26*2.54))*1.05</f>
        <v>186.64558500000001</v>
      </c>
      <c r="D35" s="106"/>
      <c r="E35" s="107"/>
      <c r="F35" s="107"/>
      <c r="G35" s="107"/>
      <c r="H35" s="69">
        <f>SUM(G36)</f>
        <v>10000</v>
      </c>
    </row>
    <row r="36" spans="1:8" s="79" customFormat="1" ht="25.2" x14ac:dyDescent="0.25">
      <c r="A36" s="74">
        <f>+A35+0.01</f>
        <v>8.01</v>
      </c>
      <c r="B36" s="85" t="s">
        <v>44</v>
      </c>
      <c r="C36" s="85"/>
      <c r="D36" s="77">
        <v>1</v>
      </c>
      <c r="E36" s="77" t="s">
        <v>19</v>
      </c>
      <c r="F36" s="78">
        <v>10000</v>
      </c>
      <c r="G36" s="78">
        <f>D36*F36</f>
        <v>10000</v>
      </c>
      <c r="H36" s="77"/>
    </row>
    <row r="37" spans="1:8" ht="6" customHeight="1" thickBot="1" x14ac:dyDescent="0.3">
      <c r="A37" s="108"/>
      <c r="B37" s="108"/>
      <c r="C37" s="108"/>
      <c r="D37" s="108"/>
      <c r="E37" s="108"/>
      <c r="F37" s="108"/>
      <c r="G37" s="108"/>
      <c r="H37" s="108"/>
    </row>
    <row r="38" spans="1:8" ht="27" customHeight="1" thickBot="1" x14ac:dyDescent="0.5">
      <c r="A38" s="56"/>
      <c r="B38" s="54" t="s">
        <v>20</v>
      </c>
      <c r="C38" s="54"/>
      <c r="D38" s="54"/>
      <c r="E38" s="54"/>
      <c r="F38" s="54"/>
      <c r="G38" s="55"/>
      <c r="H38" s="70" t="e">
        <f>SUM(H35,H30,H27,,H24,H21,H17,H11)</f>
        <v>#REF!</v>
      </c>
    </row>
    <row r="39" spans="1:8" s="11" customFormat="1" ht="11.25" customHeight="1" x14ac:dyDescent="0.25">
      <c r="A39" s="109"/>
      <c r="B39" s="109"/>
      <c r="C39" s="109"/>
      <c r="D39" s="109"/>
      <c r="E39" s="109"/>
      <c r="F39" s="109"/>
      <c r="G39" s="109"/>
      <c r="H39" s="109"/>
    </row>
    <row r="40" spans="1:8" s="18" customFormat="1" ht="22.5" customHeight="1" x14ac:dyDescent="0.4">
      <c r="A40" s="37"/>
      <c r="B40" s="61" t="s">
        <v>5</v>
      </c>
      <c r="C40" s="102">
        <v>0.02</v>
      </c>
      <c r="D40" s="102"/>
      <c r="E40" s="102"/>
      <c r="F40" s="21"/>
      <c r="G40" s="19" t="e">
        <f>+C40*H38</f>
        <v>#REF!</v>
      </c>
      <c r="H40" s="22"/>
    </row>
    <row r="41" spans="1:8" s="18" customFormat="1" ht="24" customHeight="1" x14ac:dyDescent="0.45">
      <c r="A41" s="37"/>
      <c r="B41" s="8" t="s">
        <v>23</v>
      </c>
      <c r="C41" s="102">
        <v>0.1</v>
      </c>
      <c r="D41" s="102"/>
      <c r="E41" s="102"/>
      <c r="F41" s="21"/>
      <c r="G41" s="19" t="e">
        <f>+C41*H38</f>
        <v>#REF!</v>
      </c>
      <c r="H41" s="22"/>
    </row>
    <row r="42" spans="1:8" s="18" customFormat="1" ht="24" customHeight="1" x14ac:dyDescent="0.45">
      <c r="A42" s="37"/>
      <c r="B42" s="8" t="s">
        <v>24</v>
      </c>
      <c r="C42" s="102">
        <v>0.03</v>
      </c>
      <c r="D42" s="102"/>
      <c r="E42" s="102"/>
      <c r="F42" s="21"/>
      <c r="G42" s="19" t="e">
        <f>+C42*H38</f>
        <v>#REF!</v>
      </c>
      <c r="H42" s="22"/>
    </row>
    <row r="43" spans="1:8" s="18" customFormat="1" ht="24" customHeight="1" x14ac:dyDescent="0.45">
      <c r="A43" s="37"/>
      <c r="B43" s="8" t="s">
        <v>25</v>
      </c>
      <c r="C43" s="102">
        <v>0.05</v>
      </c>
      <c r="D43" s="102"/>
      <c r="E43" s="102"/>
      <c r="F43" s="21"/>
      <c r="G43" s="19" t="e">
        <f>+C43*H38</f>
        <v>#REF!</v>
      </c>
      <c r="H43" s="22"/>
    </row>
    <row r="44" spans="1:8" s="18" customFormat="1" ht="24" customHeight="1" x14ac:dyDescent="0.45">
      <c r="A44" s="37"/>
      <c r="B44" s="8" t="s">
        <v>26</v>
      </c>
      <c r="C44" s="102">
        <v>0.01</v>
      </c>
      <c r="D44" s="102"/>
      <c r="E44" s="102"/>
      <c r="F44" s="21"/>
      <c r="G44" s="19" t="e">
        <f>+C44*H38</f>
        <v>#REF!</v>
      </c>
      <c r="H44" s="22"/>
    </row>
    <row r="45" spans="1:8" s="18" customFormat="1" ht="24" customHeight="1" x14ac:dyDescent="0.45">
      <c r="A45" s="37"/>
      <c r="B45" s="8" t="s">
        <v>27</v>
      </c>
      <c r="C45" s="102">
        <v>0.05</v>
      </c>
      <c r="D45" s="102"/>
      <c r="E45" s="102"/>
      <c r="F45" s="21"/>
      <c r="G45" s="19" t="e">
        <f>+C45*H38</f>
        <v>#REF!</v>
      </c>
      <c r="H45" s="22"/>
    </row>
    <row r="46" spans="1:8" s="20" customFormat="1" ht="24" customHeight="1" x14ac:dyDescent="0.45">
      <c r="A46" s="37"/>
      <c r="B46" s="8" t="s">
        <v>28</v>
      </c>
      <c r="D46" s="103">
        <v>0</v>
      </c>
      <c r="E46" s="104"/>
      <c r="F46" s="92"/>
      <c r="G46" s="21">
        <v>0</v>
      </c>
      <c r="H46" s="19">
        <f>+D46*I39</f>
        <v>0</v>
      </c>
    </row>
    <row r="47" spans="1:8" s="18" customFormat="1" ht="24" customHeight="1" x14ac:dyDescent="0.45">
      <c r="A47" s="37"/>
      <c r="B47" s="8" t="s">
        <v>29</v>
      </c>
      <c r="C47" s="102">
        <v>1E-3</v>
      </c>
      <c r="D47" s="102">
        <v>1E-4</v>
      </c>
      <c r="E47" s="102"/>
      <c r="F47" s="21"/>
      <c r="G47" s="19" t="e">
        <f>+C47*H38</f>
        <v>#REF!</v>
      </c>
      <c r="H47" s="22"/>
    </row>
    <row r="48" spans="1:8" s="11" customFormat="1" ht="24" customHeight="1" thickBot="1" x14ac:dyDescent="0.5">
      <c r="A48" s="38"/>
      <c r="B48" s="60" t="s">
        <v>30</v>
      </c>
      <c r="C48" s="105">
        <v>0.18</v>
      </c>
      <c r="D48" s="105"/>
      <c r="E48" s="105"/>
      <c r="F48" s="93"/>
      <c r="G48" s="94" t="e">
        <f>+C48*G41</f>
        <v>#REF!</v>
      </c>
      <c r="H48" s="95" t="e">
        <f>SUM(G40:G48)</f>
        <v>#REF!</v>
      </c>
    </row>
    <row r="49" spans="1:8" ht="30" customHeight="1" thickBot="1" x14ac:dyDescent="0.45">
      <c r="A49" s="63"/>
      <c r="B49" s="62" t="s">
        <v>31</v>
      </c>
      <c r="C49" s="64"/>
      <c r="D49" s="65"/>
      <c r="E49" s="65"/>
      <c r="F49" s="66"/>
      <c r="G49" s="67"/>
      <c r="H49" s="96" t="e">
        <f>+H48+H38</f>
        <v>#REF!</v>
      </c>
    </row>
    <row r="50" spans="1:8" ht="30" customHeight="1" x14ac:dyDescent="0.25"/>
    <row r="51" spans="1:8" ht="30" customHeight="1" x14ac:dyDescent="0.25">
      <c r="E51" s="68"/>
      <c r="F51" s="68"/>
      <c r="G51" s="68"/>
      <c r="H51" s="68"/>
    </row>
    <row r="52" spans="1:8" ht="30" customHeight="1" x14ac:dyDescent="0.25">
      <c r="B52" s="23"/>
      <c r="E52" s="100"/>
      <c r="F52" s="100"/>
      <c r="G52" s="100"/>
      <c r="H52" s="100"/>
    </row>
    <row r="53" spans="1:8" ht="30" customHeight="1" x14ac:dyDescent="0.5">
      <c r="B53" s="24" t="s">
        <v>32</v>
      </c>
      <c r="E53" s="101" t="s">
        <v>33</v>
      </c>
      <c r="F53" s="101"/>
      <c r="G53" s="101"/>
      <c r="H53" s="101"/>
    </row>
    <row r="54" spans="1:8" ht="30" customHeight="1" x14ac:dyDescent="0.25"/>
    <row r="55" spans="1:8" ht="30" customHeight="1" x14ac:dyDescent="0.25"/>
    <row r="56" spans="1:8" ht="30" customHeight="1" x14ac:dyDescent="0.25"/>
    <row r="57" spans="1:8" ht="30" customHeight="1" x14ac:dyDescent="0.25"/>
    <row r="58" spans="1:8" ht="30" customHeight="1" x14ac:dyDescent="0.25"/>
    <row r="59" spans="1:8" ht="30" customHeight="1" x14ac:dyDescent="0.25"/>
    <row r="60" spans="1:8" ht="30" customHeight="1" x14ac:dyDescent="0.25"/>
    <row r="61" spans="1:8" ht="30" customHeight="1" x14ac:dyDescent="0.25"/>
    <row r="62" spans="1:8" ht="30" customHeight="1" x14ac:dyDescent="0.25"/>
    <row r="63" spans="1:8" ht="30" customHeight="1" x14ac:dyDescent="0.25"/>
    <row r="64" spans="1:8" ht="30" customHeight="1" x14ac:dyDescent="0.25"/>
    <row r="65" ht="30" customHeight="1" x14ac:dyDescent="0.25"/>
    <row r="66" ht="30" customHeight="1" x14ac:dyDescent="0.25"/>
    <row r="67" ht="30" customHeight="1" x14ac:dyDescent="0.25"/>
  </sheetData>
  <mergeCells count="32">
    <mergeCell ref="D17:G17"/>
    <mergeCell ref="B5:H5"/>
    <mergeCell ref="E53:H53"/>
    <mergeCell ref="E52:H52"/>
    <mergeCell ref="A37:H37"/>
    <mergeCell ref="A39:H39"/>
    <mergeCell ref="D35:G35"/>
    <mergeCell ref="A29:H29"/>
    <mergeCell ref="A20:H20"/>
    <mergeCell ref="D21:G21"/>
    <mergeCell ref="D24:G24"/>
    <mergeCell ref="A23:H23"/>
    <mergeCell ref="D27:G27"/>
    <mergeCell ref="D30:G30"/>
    <mergeCell ref="H18:H19"/>
    <mergeCell ref="H31:H33"/>
    <mergeCell ref="D46:E46"/>
    <mergeCell ref="A2:H2"/>
    <mergeCell ref="A3:H3"/>
    <mergeCell ref="C45:E45"/>
    <mergeCell ref="C48:E48"/>
    <mergeCell ref="C47:E47"/>
    <mergeCell ref="C42:E42"/>
    <mergeCell ref="C43:E43"/>
    <mergeCell ref="C44:E44"/>
    <mergeCell ref="C40:E40"/>
    <mergeCell ref="C41:E41"/>
    <mergeCell ref="A4:H4"/>
    <mergeCell ref="A7:H7"/>
    <mergeCell ref="D11:G11"/>
    <mergeCell ref="A16:H16"/>
    <mergeCell ref="H12:H15"/>
  </mergeCells>
  <pageMargins left="0.7" right="0.7" top="0.75" bottom="0.75" header="0.3" footer="0.3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AGRICULTURA</vt:lpstr>
      <vt:lpstr>PREVENCION</vt:lpstr>
      <vt:lpstr>OPERACIONES</vt:lpstr>
      <vt:lpstr>CAPACITACION</vt:lpstr>
      <vt:lpstr>MONTEPLATA</vt:lpstr>
      <vt:lpstr>SAN PEDRO</vt:lpstr>
      <vt:lpstr>ATC SANTIAGO</vt:lpstr>
      <vt:lpstr>Presupuesto</vt:lpstr>
      <vt:lpstr>AGRICULTURA!Área_de_impresión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RADHAMES PEREZ M</dc:creator>
  <cp:lastModifiedBy>Ingrid Perez</cp:lastModifiedBy>
  <cp:lastPrinted>2019-10-25T15:10:14Z</cp:lastPrinted>
  <dcterms:created xsi:type="dcterms:W3CDTF">2015-08-11T03:30:05Z</dcterms:created>
  <dcterms:modified xsi:type="dcterms:W3CDTF">2019-10-25T19:31:12Z</dcterms:modified>
</cp:coreProperties>
</file>